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oli\Documents\"/>
    </mc:Choice>
  </mc:AlternateContent>
  <xr:revisionPtr revIDLastSave="0" documentId="13_ncr:1_{A83DD363-0C22-471F-9484-7961F12E131A}" xr6:coauthVersionLast="47" xr6:coauthVersionMax="47" xr10:uidLastSave="{00000000-0000-0000-0000-000000000000}"/>
  <bookViews>
    <workbookView xWindow="-120" yWindow="-120" windowWidth="20730" windowHeight="11040" activeTab="6" xr2:uid="{8BD039C6-064F-4307-A477-67D406094F82}"/>
  </bookViews>
  <sheets>
    <sheet name="Equipes" sheetId="1" r:id="rId1"/>
    <sheet name="Grupos" sheetId="2" r:id="rId2"/>
    <sheet name="Jogos" sheetId="3" r:id="rId3"/>
    <sheet name="ClassGrupFases" sheetId="4" state="hidden" r:id="rId4"/>
    <sheet name="Classificação" sheetId="5" r:id="rId5"/>
    <sheet name="Finais" sheetId="6" r:id="rId6"/>
    <sheet name="Premiação B" sheetId="7" r:id="rId7"/>
  </sheets>
  <externalReferences>
    <externalReference r:id="rId8"/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3" i="1"/>
  <c r="AD56" i="6" l="1"/>
  <c r="AE56" i="6"/>
  <c r="AB56" i="6"/>
  <c r="Y56" i="6"/>
  <c r="X56" i="6"/>
  <c r="AD53" i="6"/>
  <c r="AE53" i="6"/>
  <c r="AB53" i="6"/>
  <c r="Y53" i="6"/>
  <c r="X53" i="6"/>
  <c r="AD50" i="6"/>
  <c r="AE50" i="6"/>
  <c r="AB50" i="6"/>
  <c r="Z50" i="6"/>
  <c r="W50" i="6"/>
  <c r="AD47" i="6"/>
  <c r="AE47" i="6"/>
  <c r="AB47" i="6"/>
  <c r="Z47" i="6"/>
  <c r="W47" i="6"/>
  <c r="AD40" i="6"/>
  <c r="AE40" i="6"/>
  <c r="AB40" i="6"/>
  <c r="Y40" i="6"/>
  <c r="X40" i="6"/>
  <c r="AE44" i="6"/>
  <c r="AD44" i="6"/>
  <c r="AB44" i="6"/>
  <c r="Y44" i="6"/>
  <c r="X44" i="6"/>
  <c r="AD39" i="6"/>
  <c r="AE39" i="6"/>
  <c r="AB39" i="6"/>
  <c r="Z39" i="6"/>
  <c r="W39" i="6"/>
  <c r="AE43" i="6"/>
  <c r="AD43" i="6"/>
  <c r="AB43" i="6"/>
  <c r="Y43" i="6"/>
  <c r="X43" i="6"/>
  <c r="AD36" i="6"/>
  <c r="AE36" i="6"/>
  <c r="AB36" i="6"/>
  <c r="Y36" i="6"/>
  <c r="X36" i="6"/>
  <c r="AD35" i="6"/>
  <c r="AE35" i="6"/>
  <c r="AB35" i="6"/>
  <c r="Y35" i="6"/>
  <c r="X35" i="6"/>
  <c r="AD34" i="6"/>
  <c r="AE34" i="6"/>
  <c r="AB34" i="6"/>
  <c r="Y34" i="6"/>
  <c r="X34" i="6"/>
  <c r="AD33" i="6"/>
  <c r="AE33" i="6"/>
  <c r="AB33" i="6"/>
  <c r="Y33" i="6"/>
  <c r="X33" i="6"/>
  <c r="AD30" i="6"/>
  <c r="AE30" i="6"/>
  <c r="AB30" i="6"/>
  <c r="Z30" i="6"/>
  <c r="W30" i="6"/>
  <c r="AD29" i="6"/>
  <c r="AE29" i="6"/>
  <c r="AB29" i="6"/>
  <c r="Y29" i="6"/>
  <c r="X29" i="6"/>
  <c r="AD28" i="6"/>
  <c r="AE28" i="6"/>
  <c r="AB28" i="6"/>
  <c r="Y28" i="6"/>
  <c r="X28" i="6"/>
  <c r="AD27" i="6"/>
  <c r="AE27" i="6"/>
  <c r="AB27" i="6"/>
  <c r="Y27" i="6"/>
  <c r="X27" i="6"/>
  <c r="AD26" i="6"/>
  <c r="AE26" i="6"/>
  <c r="AB26" i="6"/>
  <c r="Z26" i="6"/>
  <c r="W26" i="6"/>
  <c r="AD25" i="6"/>
  <c r="AE25" i="6"/>
  <c r="AB25" i="6"/>
  <c r="Y25" i="6"/>
  <c r="X25" i="6"/>
  <c r="AD24" i="6"/>
  <c r="AE24" i="6"/>
  <c r="AB24" i="6"/>
  <c r="Y24" i="6"/>
  <c r="X24" i="6"/>
  <c r="AD23" i="6"/>
  <c r="AE23" i="6"/>
  <c r="AB23" i="6"/>
  <c r="Z23" i="6"/>
  <c r="W23" i="6"/>
  <c r="AD20" i="6"/>
  <c r="AE20" i="6"/>
  <c r="AB20" i="6"/>
  <c r="Y20" i="6"/>
  <c r="X20" i="6"/>
  <c r="AD19" i="6"/>
  <c r="AE19" i="6"/>
  <c r="AB19" i="6"/>
  <c r="Y19" i="6"/>
  <c r="X19" i="6"/>
  <c r="AD18" i="6"/>
  <c r="AE18" i="6"/>
  <c r="AB18" i="6"/>
  <c r="Y18" i="6"/>
  <c r="X18" i="6"/>
  <c r="AD17" i="6"/>
  <c r="AE17" i="6"/>
  <c r="AB17" i="6"/>
  <c r="Z17" i="6"/>
  <c r="W17" i="6"/>
  <c r="AD16" i="6"/>
  <c r="AE16" i="6"/>
  <c r="AB16" i="6"/>
  <c r="Z16" i="6"/>
  <c r="W16" i="6"/>
  <c r="AD15" i="6"/>
  <c r="AE15" i="6"/>
  <c r="AB15" i="6"/>
  <c r="Y15" i="6"/>
  <c r="X15" i="6"/>
  <c r="AD14" i="6"/>
  <c r="AE14" i="6"/>
  <c r="AB14" i="6"/>
  <c r="Y14" i="6"/>
  <c r="X14" i="6"/>
  <c r="AD13" i="6"/>
  <c r="AE13" i="6"/>
  <c r="AB13" i="6"/>
  <c r="Y13" i="6"/>
  <c r="X13" i="6"/>
  <c r="AD12" i="6"/>
  <c r="AE12" i="6"/>
  <c r="AB12" i="6"/>
  <c r="Y12" i="6"/>
  <c r="X12" i="6"/>
  <c r="AD11" i="6"/>
  <c r="AE11" i="6"/>
  <c r="AB11" i="6"/>
  <c r="Y11" i="6"/>
  <c r="X11" i="6"/>
  <c r="AD10" i="6"/>
  <c r="AE10" i="6"/>
  <c r="AB10" i="6"/>
  <c r="Y10" i="6"/>
  <c r="X10" i="6"/>
  <c r="AD9" i="6"/>
  <c r="AE9" i="6"/>
  <c r="AB9" i="6"/>
  <c r="Y9" i="6"/>
  <c r="X9" i="6"/>
  <c r="AD8" i="6"/>
  <c r="AE8" i="6"/>
  <c r="AB8" i="6"/>
  <c r="Y8" i="6"/>
  <c r="X8" i="6"/>
  <c r="AD7" i="6"/>
  <c r="AE7" i="6"/>
  <c r="AB7" i="6"/>
  <c r="Y7" i="6"/>
  <c r="X7" i="6"/>
  <c r="AD6" i="6"/>
  <c r="AE6" i="6"/>
  <c r="AB6" i="6"/>
  <c r="Z6" i="6"/>
  <c r="W6" i="6"/>
  <c r="AD5" i="6"/>
  <c r="AE5" i="6"/>
  <c r="AB5" i="6"/>
  <c r="Y5" i="6"/>
  <c r="X5" i="6"/>
  <c r="L55" i="6"/>
  <c r="L52" i="6"/>
  <c r="L49" i="6"/>
  <c r="L46" i="6"/>
  <c r="L42" i="6"/>
  <c r="L38" i="6"/>
  <c r="L32" i="6"/>
  <c r="L22" i="6"/>
  <c r="L4" i="6"/>
  <c r="D57" i="4"/>
  <c r="D56" i="4"/>
  <c r="D55" i="4"/>
  <c r="D54" i="4"/>
  <c r="D53" i="4"/>
  <c r="D52" i="4"/>
  <c r="D51" i="4"/>
  <c r="D48" i="4"/>
  <c r="D47" i="4"/>
  <c r="D46" i="4"/>
  <c r="D45" i="4"/>
  <c r="D44" i="4"/>
  <c r="D43" i="4"/>
  <c r="D42" i="4"/>
  <c r="D39" i="4"/>
  <c r="D38" i="4"/>
  <c r="D37" i="4"/>
  <c r="D36" i="4"/>
  <c r="D35" i="4"/>
  <c r="D34" i="4"/>
  <c r="D33" i="4"/>
  <c r="D30" i="4"/>
  <c r="D29" i="4"/>
  <c r="D28" i="4"/>
  <c r="D27" i="4"/>
  <c r="D26" i="4"/>
  <c r="D25" i="4"/>
  <c r="D24" i="4"/>
  <c r="D21" i="4"/>
  <c r="D20" i="4"/>
  <c r="D19" i="4"/>
  <c r="D18" i="4"/>
  <c r="D17" i="4"/>
  <c r="D16" i="4"/>
  <c r="D15" i="4"/>
  <c r="D12" i="4"/>
  <c r="D11" i="4"/>
  <c r="D10" i="4"/>
  <c r="D9" i="4"/>
  <c r="D8" i="4"/>
  <c r="D7" i="4"/>
  <c r="D6" i="4"/>
  <c r="V136" i="3"/>
  <c r="W136" i="3"/>
  <c r="T136" i="3"/>
  <c r="Q136" i="3"/>
  <c r="P136" i="3"/>
  <c r="S136" i="3"/>
  <c r="F136" i="3"/>
  <c r="R136" i="3" s="1"/>
  <c r="B136" i="3"/>
  <c r="M136" i="3" s="1"/>
  <c r="V135" i="3"/>
  <c r="W135" i="3"/>
  <c r="T135" i="3"/>
  <c r="Q135" i="3"/>
  <c r="P135" i="3"/>
  <c r="O135" i="3"/>
  <c r="F135" i="3"/>
  <c r="U135" i="3" s="1"/>
  <c r="B135" i="3"/>
  <c r="S135" i="3" s="1"/>
  <c r="V134" i="3"/>
  <c r="W134" i="3"/>
  <c r="T134" i="3"/>
  <c r="R134" i="3"/>
  <c r="O134" i="3"/>
  <c r="F134" i="3"/>
  <c r="Q134" i="3" s="1"/>
  <c r="B134" i="3"/>
  <c r="M134" i="3" s="1"/>
  <c r="V133" i="3"/>
  <c r="W133" i="3"/>
  <c r="T133" i="3"/>
  <c r="Q133" i="3"/>
  <c r="P133" i="3"/>
  <c r="F133" i="3"/>
  <c r="O133" i="3" s="1"/>
  <c r="B133" i="3"/>
  <c r="S133" i="3" s="1"/>
  <c r="V132" i="3"/>
  <c r="W132" i="3"/>
  <c r="T132" i="3"/>
  <c r="Q132" i="3"/>
  <c r="P132" i="3"/>
  <c r="F132" i="3"/>
  <c r="O132" i="3" s="1"/>
  <c r="B132" i="3"/>
  <c r="M132" i="3" s="1"/>
  <c r="V131" i="3"/>
  <c r="W131" i="3"/>
  <c r="T131" i="3"/>
  <c r="Q131" i="3"/>
  <c r="P131" i="3"/>
  <c r="N131" i="3"/>
  <c r="F131" i="3"/>
  <c r="U131" i="3" s="1"/>
  <c r="B131" i="3"/>
  <c r="S131" i="3" s="1"/>
  <c r="V130" i="3"/>
  <c r="W130" i="3"/>
  <c r="T130" i="3"/>
  <c r="Q130" i="3"/>
  <c r="P130" i="3"/>
  <c r="F130" i="3"/>
  <c r="N130" i="3" s="1"/>
  <c r="B130" i="3"/>
  <c r="M130" i="3" s="1"/>
  <c r="V129" i="3"/>
  <c r="W129" i="3"/>
  <c r="T129" i="3"/>
  <c r="Q129" i="3"/>
  <c r="P129" i="3"/>
  <c r="F129" i="3"/>
  <c r="O129" i="3" s="1"/>
  <c r="B129" i="3"/>
  <c r="M129" i="3" s="1"/>
  <c r="V128" i="3"/>
  <c r="W128" i="3"/>
  <c r="T128" i="3"/>
  <c r="Q128" i="3"/>
  <c r="P128" i="3"/>
  <c r="F128" i="3"/>
  <c r="U128" i="3" s="1"/>
  <c r="B128" i="3"/>
  <c r="O128" i="3" s="1"/>
  <c r="V127" i="3"/>
  <c r="W127" i="3"/>
  <c r="T127" i="3"/>
  <c r="Q127" i="3"/>
  <c r="P127" i="3"/>
  <c r="U127" i="3"/>
  <c r="F127" i="3"/>
  <c r="R127" i="3" s="1"/>
  <c r="B127" i="3"/>
  <c r="S127" i="3" s="1"/>
  <c r="V126" i="3"/>
  <c r="W126" i="3"/>
  <c r="T126" i="3"/>
  <c r="Q126" i="3"/>
  <c r="P126" i="3"/>
  <c r="F126" i="3"/>
  <c r="O126" i="3" s="1"/>
  <c r="B126" i="3"/>
  <c r="R126" i="3" s="1"/>
  <c r="V125" i="3"/>
  <c r="W125" i="3"/>
  <c r="T125" i="3"/>
  <c r="Q125" i="3"/>
  <c r="P125" i="3"/>
  <c r="F125" i="3"/>
  <c r="R125" i="3" s="1"/>
  <c r="B125" i="3"/>
  <c r="O125" i="3" s="1"/>
  <c r="V124" i="3"/>
  <c r="W124" i="3"/>
  <c r="T124" i="3"/>
  <c r="Q124" i="3"/>
  <c r="P124" i="3"/>
  <c r="F124" i="3"/>
  <c r="R124" i="3" s="1"/>
  <c r="B124" i="3"/>
  <c r="S124" i="3" s="1"/>
  <c r="V123" i="3"/>
  <c r="W123" i="3"/>
  <c r="T123" i="3"/>
  <c r="Q123" i="3"/>
  <c r="P123" i="3"/>
  <c r="N123" i="3"/>
  <c r="M123" i="3"/>
  <c r="F123" i="3"/>
  <c r="O123" i="3" s="1"/>
  <c r="B123" i="3"/>
  <c r="S123" i="3" s="1"/>
  <c r="K122" i="3"/>
  <c r="V121" i="3"/>
  <c r="W121" i="3"/>
  <c r="T121" i="3"/>
  <c r="Q121" i="3"/>
  <c r="P121" i="3"/>
  <c r="F121" i="3"/>
  <c r="U121" i="3" s="1"/>
  <c r="B121" i="3"/>
  <c r="S121" i="3" s="1"/>
  <c r="V120" i="3"/>
  <c r="W120" i="3"/>
  <c r="T120" i="3"/>
  <c r="Q120" i="3"/>
  <c r="P120" i="3"/>
  <c r="U120" i="3"/>
  <c r="F120" i="3"/>
  <c r="R120" i="3" s="1"/>
  <c r="B120" i="3"/>
  <c r="M120" i="3" s="1"/>
  <c r="V119" i="3"/>
  <c r="W119" i="3"/>
  <c r="T119" i="3"/>
  <c r="Q119" i="3"/>
  <c r="P119" i="3"/>
  <c r="F119" i="3"/>
  <c r="U119" i="3" s="1"/>
  <c r="B119" i="3"/>
  <c r="S119" i="3" s="1"/>
  <c r="V118" i="3"/>
  <c r="W118" i="3"/>
  <c r="T118" i="3"/>
  <c r="Q118" i="3"/>
  <c r="P118" i="3"/>
  <c r="F118" i="3"/>
  <c r="R118" i="3" s="1"/>
  <c r="B118" i="3"/>
  <c r="M118" i="3" s="1"/>
  <c r="V117" i="3"/>
  <c r="W117" i="3"/>
  <c r="T117" i="3"/>
  <c r="Q117" i="3"/>
  <c r="P117" i="3"/>
  <c r="M117" i="3"/>
  <c r="F117" i="3"/>
  <c r="O117" i="3" s="1"/>
  <c r="B117" i="3"/>
  <c r="S117" i="3" s="1"/>
  <c r="V116" i="3"/>
  <c r="W116" i="3"/>
  <c r="T116" i="3"/>
  <c r="Q116" i="3"/>
  <c r="P116" i="3"/>
  <c r="F116" i="3"/>
  <c r="N116" i="3" s="1"/>
  <c r="B116" i="3"/>
  <c r="R116" i="3" s="1"/>
  <c r="V115" i="3"/>
  <c r="W115" i="3"/>
  <c r="T115" i="3"/>
  <c r="Q115" i="3"/>
  <c r="P115" i="3"/>
  <c r="F115" i="3"/>
  <c r="R115" i="3" s="1"/>
  <c r="B115" i="3"/>
  <c r="O115" i="3" s="1"/>
  <c r="V114" i="3"/>
  <c r="W114" i="3"/>
  <c r="T114" i="3"/>
  <c r="Q114" i="3"/>
  <c r="P114" i="3"/>
  <c r="F114" i="3"/>
  <c r="O114" i="3" s="1"/>
  <c r="B114" i="3"/>
  <c r="R114" i="3" s="1"/>
  <c r="V113" i="3"/>
  <c r="W113" i="3"/>
  <c r="T113" i="3"/>
  <c r="Q113" i="3"/>
  <c r="P113" i="3"/>
  <c r="S113" i="3"/>
  <c r="F113" i="3"/>
  <c r="R113" i="3" s="1"/>
  <c r="B113" i="3"/>
  <c r="M113" i="3" s="1"/>
  <c r="V112" i="3"/>
  <c r="W112" i="3"/>
  <c r="T112" i="3"/>
  <c r="Q112" i="3"/>
  <c r="P112" i="3"/>
  <c r="F112" i="3"/>
  <c r="R112" i="3" s="1"/>
  <c r="B112" i="3"/>
  <c r="O112" i="3" s="1"/>
  <c r="V111" i="3"/>
  <c r="W111" i="3"/>
  <c r="T111" i="3"/>
  <c r="Q111" i="3"/>
  <c r="P111" i="3"/>
  <c r="F111" i="3"/>
  <c r="U111" i="3" s="1"/>
  <c r="B111" i="3"/>
  <c r="S111" i="3" s="1"/>
  <c r="V110" i="3"/>
  <c r="W110" i="3"/>
  <c r="T110" i="3"/>
  <c r="Q110" i="3"/>
  <c r="P110" i="3"/>
  <c r="F110" i="3"/>
  <c r="U110" i="3" s="1"/>
  <c r="B110" i="3"/>
  <c r="R110" i="3" s="1"/>
  <c r="V109" i="3"/>
  <c r="W109" i="3"/>
  <c r="T109" i="3"/>
  <c r="Q109" i="3"/>
  <c r="P109" i="3"/>
  <c r="F109" i="3"/>
  <c r="R109" i="3" s="1"/>
  <c r="B109" i="3"/>
  <c r="O109" i="3" s="1"/>
  <c r="V108" i="3"/>
  <c r="W108" i="3"/>
  <c r="T108" i="3"/>
  <c r="Q108" i="3"/>
  <c r="P108" i="3"/>
  <c r="F108" i="3"/>
  <c r="U108" i="3" s="1"/>
  <c r="B108" i="3"/>
  <c r="S108" i="3" s="1"/>
  <c r="V107" i="3"/>
  <c r="W107" i="3"/>
  <c r="T107" i="3"/>
  <c r="Q107" i="3"/>
  <c r="P107" i="3"/>
  <c r="F107" i="3"/>
  <c r="O107" i="3" s="1"/>
  <c r="B107" i="3"/>
  <c r="R107" i="3" s="1"/>
  <c r="V106" i="3"/>
  <c r="W106" i="3"/>
  <c r="T106" i="3"/>
  <c r="Q106" i="3"/>
  <c r="P106" i="3"/>
  <c r="F106" i="3"/>
  <c r="O106" i="3" s="1"/>
  <c r="B106" i="3"/>
  <c r="K105" i="3"/>
  <c r="V104" i="3"/>
  <c r="W104" i="3"/>
  <c r="T104" i="3"/>
  <c r="Q104" i="3"/>
  <c r="P104" i="3"/>
  <c r="F104" i="3"/>
  <c r="N104" i="3" s="1"/>
  <c r="B104" i="3"/>
  <c r="S104" i="3" s="1"/>
  <c r="V103" i="3"/>
  <c r="W103" i="3"/>
  <c r="T103" i="3"/>
  <c r="Q103" i="3"/>
  <c r="P103" i="3"/>
  <c r="N103" i="3"/>
  <c r="F103" i="3"/>
  <c r="O103" i="3" s="1"/>
  <c r="B103" i="3"/>
  <c r="R103" i="3" s="1"/>
  <c r="V102" i="3"/>
  <c r="W102" i="3"/>
  <c r="T102" i="3"/>
  <c r="Q102" i="3"/>
  <c r="P102" i="3"/>
  <c r="F102" i="3"/>
  <c r="O102" i="3" s="1"/>
  <c r="B102" i="3"/>
  <c r="V101" i="3"/>
  <c r="W101" i="3"/>
  <c r="T101" i="3"/>
  <c r="Q101" i="3"/>
  <c r="P101" i="3"/>
  <c r="F101" i="3"/>
  <c r="R101" i="3" s="1"/>
  <c r="B101" i="3"/>
  <c r="O101" i="3" s="1"/>
  <c r="V100" i="3"/>
  <c r="W100" i="3"/>
  <c r="T100" i="3"/>
  <c r="Q100" i="3"/>
  <c r="P100" i="3"/>
  <c r="F100" i="3"/>
  <c r="R100" i="3" s="1"/>
  <c r="B100" i="3"/>
  <c r="O100" i="3" s="1"/>
  <c r="V99" i="3"/>
  <c r="W99" i="3"/>
  <c r="T99" i="3"/>
  <c r="Q99" i="3"/>
  <c r="P99" i="3"/>
  <c r="F99" i="3"/>
  <c r="U99" i="3" s="1"/>
  <c r="B99" i="3"/>
  <c r="O99" i="3" s="1"/>
  <c r="V98" i="3"/>
  <c r="W98" i="3"/>
  <c r="T98" i="3"/>
  <c r="Q98" i="3"/>
  <c r="P98" i="3"/>
  <c r="F98" i="3"/>
  <c r="R98" i="3" s="1"/>
  <c r="B98" i="3"/>
  <c r="M98" i="3" s="1"/>
  <c r="V97" i="3"/>
  <c r="W97" i="3"/>
  <c r="T97" i="3"/>
  <c r="R97" i="3"/>
  <c r="O97" i="3"/>
  <c r="F97" i="3"/>
  <c r="B97" i="3"/>
  <c r="P97" i="3" s="1"/>
  <c r="V96" i="3"/>
  <c r="W96" i="3"/>
  <c r="T96" i="3"/>
  <c r="Q96" i="3"/>
  <c r="P96" i="3"/>
  <c r="F96" i="3"/>
  <c r="N96" i="3" s="1"/>
  <c r="B96" i="3"/>
  <c r="S96" i="3" s="1"/>
  <c r="V95" i="3"/>
  <c r="W95" i="3"/>
  <c r="T95" i="3"/>
  <c r="Q95" i="3"/>
  <c r="P95" i="3"/>
  <c r="F95" i="3"/>
  <c r="R95" i="3" s="1"/>
  <c r="B95" i="3"/>
  <c r="O95" i="3" s="1"/>
  <c r="V94" i="3"/>
  <c r="W94" i="3"/>
  <c r="T94" i="3"/>
  <c r="Q94" i="3"/>
  <c r="P94" i="3"/>
  <c r="F94" i="3"/>
  <c r="O94" i="3" s="1"/>
  <c r="B94" i="3"/>
  <c r="V93" i="3"/>
  <c r="W93" i="3"/>
  <c r="T93" i="3"/>
  <c r="R93" i="3"/>
  <c r="O93" i="3"/>
  <c r="N93" i="3"/>
  <c r="F93" i="3"/>
  <c r="Q93" i="3" s="1"/>
  <c r="B93" i="3"/>
  <c r="S93" i="3" s="1"/>
  <c r="V92" i="3"/>
  <c r="W92" i="3"/>
  <c r="T92" i="3"/>
  <c r="Q92" i="3"/>
  <c r="P92" i="3"/>
  <c r="F92" i="3"/>
  <c r="R92" i="3" s="1"/>
  <c r="B92" i="3"/>
  <c r="O92" i="3" s="1"/>
  <c r="V91" i="3"/>
  <c r="W91" i="3"/>
  <c r="T91" i="3"/>
  <c r="R91" i="3"/>
  <c r="O91" i="3"/>
  <c r="F91" i="3"/>
  <c r="U91" i="3" s="1"/>
  <c r="B91" i="3"/>
  <c r="S91" i="3" s="1"/>
  <c r="V90" i="3"/>
  <c r="W90" i="3"/>
  <c r="T90" i="3"/>
  <c r="Q90" i="3"/>
  <c r="P90" i="3"/>
  <c r="O90" i="3"/>
  <c r="N90" i="3"/>
  <c r="F90" i="3"/>
  <c r="U90" i="3" s="1"/>
  <c r="B90" i="3"/>
  <c r="R90" i="3" s="1"/>
  <c r="V89" i="3"/>
  <c r="W89" i="3"/>
  <c r="T89" i="3"/>
  <c r="Q89" i="3"/>
  <c r="P89" i="3"/>
  <c r="M89" i="3"/>
  <c r="F89" i="3"/>
  <c r="B89" i="3"/>
  <c r="S89" i="3" s="1"/>
  <c r="K88" i="3"/>
  <c r="V87" i="3"/>
  <c r="W87" i="3"/>
  <c r="T87" i="3"/>
  <c r="Q87" i="3"/>
  <c r="P87" i="3"/>
  <c r="O87" i="3"/>
  <c r="F87" i="3"/>
  <c r="U87" i="3" s="1"/>
  <c r="B87" i="3"/>
  <c r="S87" i="3" s="1"/>
  <c r="V86" i="3"/>
  <c r="W86" i="3"/>
  <c r="T86" i="3"/>
  <c r="Q86" i="3"/>
  <c r="P86" i="3"/>
  <c r="F86" i="3"/>
  <c r="R86" i="3" s="1"/>
  <c r="B86" i="3"/>
  <c r="M86" i="3" s="1"/>
  <c r="V85" i="3"/>
  <c r="W85" i="3"/>
  <c r="T85" i="3"/>
  <c r="R85" i="3"/>
  <c r="O85" i="3"/>
  <c r="F85" i="3"/>
  <c r="B85" i="3"/>
  <c r="P85" i="3" s="1"/>
  <c r="V84" i="3"/>
  <c r="W84" i="3"/>
  <c r="T84" i="3"/>
  <c r="Q84" i="3"/>
  <c r="P84" i="3"/>
  <c r="F84" i="3"/>
  <c r="N84" i="3" s="1"/>
  <c r="B84" i="3"/>
  <c r="S84" i="3" s="1"/>
  <c r="V83" i="3"/>
  <c r="W83" i="3"/>
  <c r="T83" i="3"/>
  <c r="Q83" i="3"/>
  <c r="P83" i="3"/>
  <c r="F83" i="3"/>
  <c r="O83" i="3" s="1"/>
  <c r="B83" i="3"/>
  <c r="R83" i="3" s="1"/>
  <c r="V82" i="3"/>
  <c r="W82" i="3"/>
  <c r="T82" i="3"/>
  <c r="Q82" i="3"/>
  <c r="P82" i="3"/>
  <c r="F82" i="3"/>
  <c r="O82" i="3" s="1"/>
  <c r="B82" i="3"/>
  <c r="V81" i="3"/>
  <c r="W81" i="3"/>
  <c r="T81" i="3"/>
  <c r="Q81" i="3"/>
  <c r="P81" i="3"/>
  <c r="F81" i="3"/>
  <c r="R81" i="3" s="1"/>
  <c r="B81" i="3"/>
  <c r="S81" i="3" s="1"/>
  <c r="V80" i="3"/>
  <c r="W80" i="3"/>
  <c r="T80" i="3"/>
  <c r="Q80" i="3"/>
  <c r="P80" i="3"/>
  <c r="F80" i="3"/>
  <c r="R80" i="3" s="1"/>
  <c r="B80" i="3"/>
  <c r="O80" i="3" s="1"/>
  <c r="V79" i="3"/>
  <c r="W79" i="3"/>
  <c r="T79" i="3"/>
  <c r="Q79" i="3"/>
  <c r="P79" i="3"/>
  <c r="F79" i="3"/>
  <c r="U79" i="3" s="1"/>
  <c r="B79" i="3"/>
  <c r="S79" i="3" s="1"/>
  <c r="V78" i="3"/>
  <c r="W78" i="3"/>
  <c r="T78" i="3"/>
  <c r="Q78" i="3"/>
  <c r="P78" i="3"/>
  <c r="F78" i="3"/>
  <c r="R78" i="3" s="1"/>
  <c r="B78" i="3"/>
  <c r="M78" i="3" s="1"/>
  <c r="V77" i="3"/>
  <c r="W77" i="3"/>
  <c r="T77" i="3"/>
  <c r="R77" i="3"/>
  <c r="O77" i="3"/>
  <c r="F77" i="3"/>
  <c r="B77" i="3"/>
  <c r="P77" i="3" s="1"/>
  <c r="V76" i="3"/>
  <c r="W76" i="3"/>
  <c r="T76" i="3"/>
  <c r="Q76" i="3"/>
  <c r="P76" i="3"/>
  <c r="F76" i="3"/>
  <c r="N76" i="3" s="1"/>
  <c r="B76" i="3"/>
  <c r="S76" i="3" s="1"/>
  <c r="V75" i="3"/>
  <c r="W75" i="3"/>
  <c r="T75" i="3"/>
  <c r="Q75" i="3"/>
  <c r="P75" i="3"/>
  <c r="F75" i="3"/>
  <c r="O75" i="3" s="1"/>
  <c r="B75" i="3"/>
  <c r="R75" i="3" s="1"/>
  <c r="V74" i="3"/>
  <c r="W74" i="3"/>
  <c r="T74" i="3"/>
  <c r="Q74" i="3"/>
  <c r="P74" i="3"/>
  <c r="F74" i="3"/>
  <c r="O74" i="3" s="1"/>
  <c r="B74" i="3"/>
  <c r="V73" i="3"/>
  <c r="W73" i="3"/>
  <c r="T73" i="3"/>
  <c r="Q73" i="3"/>
  <c r="P73" i="3"/>
  <c r="F73" i="3"/>
  <c r="R73" i="3" s="1"/>
  <c r="B73" i="3"/>
  <c r="S73" i="3" s="1"/>
  <c r="V72" i="3"/>
  <c r="W72" i="3"/>
  <c r="T72" i="3"/>
  <c r="Q72" i="3"/>
  <c r="P72" i="3"/>
  <c r="F72" i="3"/>
  <c r="R72" i="3" s="1"/>
  <c r="B72" i="3"/>
  <c r="O72" i="3" s="1"/>
  <c r="K71" i="3"/>
  <c r="V70" i="3"/>
  <c r="W70" i="3"/>
  <c r="T70" i="3"/>
  <c r="Q70" i="3"/>
  <c r="P70" i="3"/>
  <c r="F70" i="3"/>
  <c r="O70" i="3" s="1"/>
  <c r="B70" i="3"/>
  <c r="V69" i="3"/>
  <c r="W69" i="3"/>
  <c r="T69" i="3"/>
  <c r="Q69" i="3"/>
  <c r="P69" i="3"/>
  <c r="F69" i="3"/>
  <c r="N69" i="3" s="1"/>
  <c r="B69" i="3"/>
  <c r="S69" i="3" s="1"/>
  <c r="V68" i="3"/>
  <c r="W68" i="3"/>
  <c r="T68" i="3"/>
  <c r="Q68" i="3"/>
  <c r="P68" i="3"/>
  <c r="F68" i="3"/>
  <c r="O68" i="3" s="1"/>
  <c r="B68" i="3"/>
  <c r="S68" i="3" s="1"/>
  <c r="V67" i="3"/>
  <c r="W67" i="3"/>
  <c r="T67" i="3"/>
  <c r="Q67" i="3"/>
  <c r="P67" i="3"/>
  <c r="F67" i="3"/>
  <c r="U67" i="3" s="1"/>
  <c r="B67" i="3"/>
  <c r="S67" i="3" s="1"/>
  <c r="V66" i="3"/>
  <c r="W66" i="3"/>
  <c r="T66" i="3"/>
  <c r="Q66" i="3"/>
  <c r="P66" i="3"/>
  <c r="F66" i="3"/>
  <c r="U66" i="3" s="1"/>
  <c r="B66" i="3"/>
  <c r="M66" i="3" s="1"/>
  <c r="V65" i="3"/>
  <c r="W65" i="3"/>
  <c r="T65" i="3"/>
  <c r="Q65" i="3"/>
  <c r="P65" i="3"/>
  <c r="F65" i="3"/>
  <c r="B65" i="3"/>
  <c r="S65" i="3" s="1"/>
  <c r="V64" i="3"/>
  <c r="W64" i="3"/>
  <c r="T64" i="3"/>
  <c r="Q64" i="3"/>
  <c r="P64" i="3"/>
  <c r="F64" i="3"/>
  <c r="N64" i="3" s="1"/>
  <c r="B64" i="3"/>
  <c r="S64" i="3" s="1"/>
  <c r="V63" i="3"/>
  <c r="W63" i="3"/>
  <c r="T63" i="3"/>
  <c r="Q63" i="3"/>
  <c r="P63" i="3"/>
  <c r="U63" i="3"/>
  <c r="F63" i="3"/>
  <c r="R63" i="3" s="1"/>
  <c r="B63" i="3"/>
  <c r="M63" i="3" s="1"/>
  <c r="V62" i="3"/>
  <c r="W62" i="3"/>
  <c r="T62" i="3"/>
  <c r="R62" i="3"/>
  <c r="O62" i="3"/>
  <c r="F62" i="3"/>
  <c r="U62" i="3" s="1"/>
  <c r="B62" i="3"/>
  <c r="V61" i="3"/>
  <c r="W61" i="3"/>
  <c r="T61" i="3"/>
  <c r="Q61" i="3"/>
  <c r="P61" i="3"/>
  <c r="F61" i="3"/>
  <c r="O61" i="3" s="1"/>
  <c r="B61" i="3"/>
  <c r="S61" i="3" s="1"/>
  <c r="V60" i="3"/>
  <c r="W60" i="3"/>
  <c r="T60" i="3"/>
  <c r="Q60" i="3"/>
  <c r="P60" i="3"/>
  <c r="S60" i="3"/>
  <c r="M60" i="3"/>
  <c r="F60" i="3"/>
  <c r="R60" i="3" s="1"/>
  <c r="B60" i="3"/>
  <c r="O60" i="3" s="1"/>
  <c r="V59" i="3"/>
  <c r="W59" i="3"/>
  <c r="T59" i="3"/>
  <c r="Q59" i="3"/>
  <c r="P59" i="3"/>
  <c r="F59" i="3"/>
  <c r="U59" i="3" s="1"/>
  <c r="B59" i="3"/>
  <c r="O59" i="3" s="1"/>
  <c r="V58" i="3"/>
  <c r="W58" i="3"/>
  <c r="T58" i="3"/>
  <c r="Q58" i="3"/>
  <c r="P58" i="3"/>
  <c r="O58" i="3"/>
  <c r="U58" i="3"/>
  <c r="N58" i="3"/>
  <c r="F58" i="3"/>
  <c r="R58" i="3" s="1"/>
  <c r="B58" i="3"/>
  <c r="M58" i="3" s="1"/>
  <c r="V57" i="3"/>
  <c r="W57" i="3"/>
  <c r="T57" i="3"/>
  <c r="Q57" i="3"/>
  <c r="P57" i="3"/>
  <c r="F57" i="3"/>
  <c r="B57" i="3"/>
  <c r="S57" i="3" s="1"/>
  <c r="V56" i="3"/>
  <c r="W56" i="3"/>
  <c r="T56" i="3"/>
  <c r="Q56" i="3"/>
  <c r="P56" i="3"/>
  <c r="F56" i="3"/>
  <c r="N56" i="3" s="1"/>
  <c r="B56" i="3"/>
  <c r="S56" i="3" s="1"/>
  <c r="V55" i="3"/>
  <c r="W55" i="3"/>
  <c r="T55" i="3"/>
  <c r="Q55" i="3"/>
  <c r="P55" i="3"/>
  <c r="F55" i="3"/>
  <c r="R55" i="3" s="1"/>
  <c r="B55" i="3"/>
  <c r="M55" i="3" s="1"/>
  <c r="K54" i="3"/>
  <c r="V53" i="3"/>
  <c r="W53" i="3"/>
  <c r="T53" i="3"/>
  <c r="R53" i="3"/>
  <c r="O53" i="3"/>
  <c r="F53" i="3"/>
  <c r="B53" i="3"/>
  <c r="P53" i="3" s="1"/>
  <c r="V52" i="3"/>
  <c r="W52" i="3"/>
  <c r="T52" i="3"/>
  <c r="Q52" i="3"/>
  <c r="P52" i="3"/>
  <c r="F52" i="3"/>
  <c r="N52" i="3" s="1"/>
  <c r="B52" i="3"/>
  <c r="S52" i="3" s="1"/>
  <c r="V51" i="3"/>
  <c r="W51" i="3"/>
  <c r="T51" i="3"/>
  <c r="Q51" i="3"/>
  <c r="P51" i="3"/>
  <c r="F51" i="3"/>
  <c r="N51" i="3" s="1"/>
  <c r="B51" i="3"/>
  <c r="R51" i="3" s="1"/>
  <c r="V50" i="3"/>
  <c r="W50" i="3"/>
  <c r="T50" i="3"/>
  <c r="Q50" i="3"/>
  <c r="P50" i="3"/>
  <c r="F50" i="3"/>
  <c r="O50" i="3" s="1"/>
  <c r="B50" i="3"/>
  <c r="V49" i="3"/>
  <c r="W49" i="3"/>
  <c r="T49" i="3"/>
  <c r="Q49" i="3"/>
  <c r="P49" i="3"/>
  <c r="F49" i="3"/>
  <c r="R49" i="3" s="1"/>
  <c r="B49" i="3"/>
  <c r="S49" i="3" s="1"/>
  <c r="V48" i="3"/>
  <c r="W48" i="3"/>
  <c r="T48" i="3"/>
  <c r="Q48" i="3"/>
  <c r="P48" i="3"/>
  <c r="F48" i="3"/>
  <c r="R48" i="3" s="1"/>
  <c r="B48" i="3"/>
  <c r="O48" i="3" s="1"/>
  <c r="V47" i="3"/>
  <c r="W47" i="3"/>
  <c r="T47" i="3"/>
  <c r="Q47" i="3"/>
  <c r="P47" i="3"/>
  <c r="F47" i="3"/>
  <c r="U47" i="3" s="1"/>
  <c r="B47" i="3"/>
  <c r="O47" i="3" s="1"/>
  <c r="V46" i="3"/>
  <c r="W46" i="3"/>
  <c r="T46" i="3"/>
  <c r="Q46" i="3"/>
  <c r="P46" i="3"/>
  <c r="F46" i="3"/>
  <c r="R46" i="3" s="1"/>
  <c r="B46" i="3"/>
  <c r="M46" i="3" s="1"/>
  <c r="V45" i="3"/>
  <c r="W45" i="3"/>
  <c r="T45" i="3"/>
  <c r="Q45" i="3"/>
  <c r="P45" i="3"/>
  <c r="F45" i="3"/>
  <c r="R45" i="3" s="1"/>
  <c r="B45" i="3"/>
  <c r="O45" i="3" s="1"/>
  <c r="V44" i="3"/>
  <c r="W44" i="3"/>
  <c r="T44" i="3"/>
  <c r="Q44" i="3"/>
  <c r="P44" i="3"/>
  <c r="F44" i="3"/>
  <c r="N44" i="3" s="1"/>
  <c r="B44" i="3"/>
  <c r="S44" i="3" s="1"/>
  <c r="V43" i="3"/>
  <c r="W43" i="3"/>
  <c r="T43" i="3"/>
  <c r="R43" i="3"/>
  <c r="O43" i="3"/>
  <c r="F43" i="3"/>
  <c r="Q43" i="3" s="1"/>
  <c r="B43" i="3"/>
  <c r="P43" i="3" s="1"/>
  <c r="V42" i="3"/>
  <c r="W42" i="3"/>
  <c r="T42" i="3"/>
  <c r="Q42" i="3"/>
  <c r="P42" i="3"/>
  <c r="F42" i="3"/>
  <c r="R42" i="3" s="1"/>
  <c r="B42" i="3"/>
  <c r="V41" i="3"/>
  <c r="W41" i="3"/>
  <c r="T41" i="3"/>
  <c r="Q41" i="3"/>
  <c r="P41" i="3"/>
  <c r="F41" i="3"/>
  <c r="O41" i="3" s="1"/>
  <c r="B41" i="3"/>
  <c r="S41" i="3" s="1"/>
  <c r="V40" i="3"/>
  <c r="W40" i="3"/>
  <c r="T40" i="3"/>
  <c r="R40" i="3"/>
  <c r="Q40" i="3"/>
  <c r="P40" i="3"/>
  <c r="M40" i="3"/>
  <c r="F40" i="3"/>
  <c r="O40" i="3" s="1"/>
  <c r="B40" i="3"/>
  <c r="S40" i="3" s="1"/>
  <c r="V39" i="3"/>
  <c r="W39" i="3"/>
  <c r="T39" i="3"/>
  <c r="Q39" i="3"/>
  <c r="P39" i="3"/>
  <c r="F39" i="3"/>
  <c r="U39" i="3" s="1"/>
  <c r="B39" i="3"/>
  <c r="S39" i="3" s="1"/>
  <c r="V38" i="3"/>
  <c r="W38" i="3"/>
  <c r="T38" i="3"/>
  <c r="Q38" i="3"/>
  <c r="P38" i="3"/>
  <c r="F38" i="3"/>
  <c r="O38" i="3" s="1"/>
  <c r="B38" i="3"/>
  <c r="M38" i="3" s="1"/>
  <c r="K37" i="3"/>
  <c r="V36" i="3"/>
  <c r="W36" i="3"/>
  <c r="T36" i="3"/>
  <c r="Q36" i="3"/>
  <c r="P36" i="3"/>
  <c r="S36" i="3"/>
  <c r="F36" i="3"/>
  <c r="O36" i="3" s="1"/>
  <c r="B36" i="3"/>
  <c r="R36" i="3" s="1"/>
  <c r="V35" i="3"/>
  <c r="W35" i="3"/>
  <c r="T35" i="3"/>
  <c r="Q35" i="3"/>
  <c r="P35" i="3"/>
  <c r="F35" i="3"/>
  <c r="U35" i="3" s="1"/>
  <c r="B35" i="3"/>
  <c r="S35" i="3" s="1"/>
  <c r="V34" i="3"/>
  <c r="W34" i="3"/>
  <c r="T34" i="3"/>
  <c r="Q34" i="3"/>
  <c r="P34" i="3"/>
  <c r="F34" i="3"/>
  <c r="O34" i="3" s="1"/>
  <c r="B34" i="3"/>
  <c r="M34" i="3" s="1"/>
  <c r="V33" i="3"/>
  <c r="W33" i="3"/>
  <c r="T33" i="3"/>
  <c r="Q33" i="3"/>
  <c r="P33" i="3"/>
  <c r="F33" i="3"/>
  <c r="B33" i="3"/>
  <c r="O33" i="3" s="1"/>
  <c r="V32" i="3"/>
  <c r="W32" i="3"/>
  <c r="T32" i="3"/>
  <c r="R32" i="3"/>
  <c r="O32" i="3"/>
  <c r="F32" i="3"/>
  <c r="N32" i="3" s="1"/>
  <c r="B32" i="3"/>
  <c r="S32" i="3" s="1"/>
  <c r="V31" i="3"/>
  <c r="W31" i="3"/>
  <c r="T31" i="3"/>
  <c r="Q31" i="3"/>
  <c r="P31" i="3"/>
  <c r="F31" i="3"/>
  <c r="R31" i="3" s="1"/>
  <c r="B31" i="3"/>
  <c r="S31" i="3" s="1"/>
  <c r="V30" i="3"/>
  <c r="W30" i="3"/>
  <c r="T30" i="3"/>
  <c r="Q30" i="3"/>
  <c r="P30" i="3"/>
  <c r="F30" i="3"/>
  <c r="U30" i="3" s="1"/>
  <c r="B30" i="3"/>
  <c r="V29" i="3"/>
  <c r="W29" i="3"/>
  <c r="T29" i="3"/>
  <c r="Q29" i="3"/>
  <c r="P29" i="3"/>
  <c r="U29" i="3"/>
  <c r="F29" i="3"/>
  <c r="R29" i="3" s="1"/>
  <c r="B29" i="3"/>
  <c r="S29" i="3" s="1"/>
  <c r="V28" i="3"/>
  <c r="W28" i="3"/>
  <c r="T28" i="3"/>
  <c r="Q28" i="3"/>
  <c r="P28" i="3"/>
  <c r="F28" i="3"/>
  <c r="R28" i="3" s="1"/>
  <c r="B28" i="3"/>
  <c r="O28" i="3" s="1"/>
  <c r="V27" i="3"/>
  <c r="W27" i="3"/>
  <c r="T27" i="3"/>
  <c r="Q27" i="3"/>
  <c r="P27" i="3"/>
  <c r="F27" i="3"/>
  <c r="U27" i="3" s="1"/>
  <c r="B27" i="3"/>
  <c r="O27" i="3" s="1"/>
  <c r="V26" i="3"/>
  <c r="W26" i="3"/>
  <c r="T26" i="3"/>
  <c r="Q26" i="3"/>
  <c r="P26" i="3"/>
  <c r="S26" i="3"/>
  <c r="F26" i="3"/>
  <c r="R26" i="3" s="1"/>
  <c r="B26" i="3"/>
  <c r="M26" i="3" s="1"/>
  <c r="V25" i="3"/>
  <c r="W25" i="3"/>
  <c r="T25" i="3"/>
  <c r="Q25" i="3"/>
  <c r="P25" i="3"/>
  <c r="M25" i="3"/>
  <c r="F25" i="3"/>
  <c r="R25" i="3" s="1"/>
  <c r="B25" i="3"/>
  <c r="O25" i="3" s="1"/>
  <c r="V24" i="3"/>
  <c r="W24" i="3"/>
  <c r="T24" i="3"/>
  <c r="Q24" i="3"/>
  <c r="P24" i="3"/>
  <c r="F24" i="3"/>
  <c r="N24" i="3" s="1"/>
  <c r="B24" i="3"/>
  <c r="S24" i="3" s="1"/>
  <c r="V23" i="3"/>
  <c r="W23" i="3"/>
  <c r="T23" i="3"/>
  <c r="Q23" i="3"/>
  <c r="P23" i="3"/>
  <c r="F23" i="3"/>
  <c r="R23" i="3" s="1"/>
  <c r="B23" i="3"/>
  <c r="S23" i="3" s="1"/>
  <c r="V22" i="3"/>
  <c r="W22" i="3"/>
  <c r="T22" i="3"/>
  <c r="Q22" i="3"/>
  <c r="P22" i="3"/>
  <c r="F22" i="3"/>
  <c r="U22" i="3" s="1"/>
  <c r="B22" i="3"/>
  <c r="V21" i="3"/>
  <c r="W21" i="3"/>
  <c r="T21" i="3"/>
  <c r="Q21" i="3"/>
  <c r="P21" i="3"/>
  <c r="F21" i="3"/>
  <c r="O21" i="3" s="1"/>
  <c r="B21" i="3"/>
  <c r="S21" i="3" s="1"/>
  <c r="K20" i="3"/>
  <c r="V19" i="3"/>
  <c r="W19" i="3"/>
  <c r="T19" i="3"/>
  <c r="Q19" i="3"/>
  <c r="P19" i="3"/>
  <c r="F19" i="3"/>
  <c r="R19" i="3" s="1"/>
  <c r="B19" i="3"/>
  <c r="M19" i="3" s="1"/>
  <c r="V18" i="3"/>
  <c r="W18" i="3"/>
  <c r="T18" i="3"/>
  <c r="Q18" i="3"/>
  <c r="P18" i="3"/>
  <c r="F18" i="3"/>
  <c r="U18" i="3" s="1"/>
  <c r="B18" i="3"/>
  <c r="V17" i="3"/>
  <c r="W17" i="3"/>
  <c r="T17" i="3"/>
  <c r="Q17" i="3"/>
  <c r="P17" i="3"/>
  <c r="F17" i="3"/>
  <c r="N17" i="3" s="1"/>
  <c r="B17" i="3"/>
  <c r="S17" i="3" s="1"/>
  <c r="V16" i="3"/>
  <c r="W16" i="3"/>
  <c r="T16" i="3"/>
  <c r="Q16" i="3"/>
  <c r="P16" i="3"/>
  <c r="F16" i="3"/>
  <c r="R16" i="3" s="1"/>
  <c r="B16" i="3"/>
  <c r="O16" i="3" s="1"/>
  <c r="V15" i="3"/>
  <c r="W15" i="3"/>
  <c r="T15" i="3"/>
  <c r="Q15" i="3"/>
  <c r="P15" i="3"/>
  <c r="F15" i="3"/>
  <c r="U15" i="3" s="1"/>
  <c r="B15" i="3"/>
  <c r="S15" i="3" s="1"/>
  <c r="V14" i="3"/>
  <c r="W14" i="3"/>
  <c r="T14" i="3"/>
  <c r="R14" i="3"/>
  <c r="O14" i="3"/>
  <c r="S14" i="3"/>
  <c r="F14" i="3"/>
  <c r="Q14" i="3" s="1"/>
  <c r="B14" i="3"/>
  <c r="M14" i="3" s="1"/>
  <c r="V13" i="3"/>
  <c r="W13" i="3"/>
  <c r="T13" i="3"/>
  <c r="R13" i="3"/>
  <c r="O13" i="3"/>
  <c r="M13" i="3"/>
  <c r="F13" i="3"/>
  <c r="B13" i="3"/>
  <c r="P13" i="3" s="1"/>
  <c r="V12" i="3"/>
  <c r="W12" i="3"/>
  <c r="T12" i="3"/>
  <c r="Q12" i="3"/>
  <c r="P12" i="3"/>
  <c r="O12" i="3"/>
  <c r="F12" i="3"/>
  <c r="N12" i="3" s="1"/>
  <c r="B12" i="3"/>
  <c r="S12" i="3" s="1"/>
  <c r="V11" i="3"/>
  <c r="W11" i="3"/>
  <c r="T11" i="3"/>
  <c r="Q11" i="3"/>
  <c r="P11" i="3"/>
  <c r="F11" i="3"/>
  <c r="R11" i="3" s="1"/>
  <c r="B11" i="3"/>
  <c r="S11" i="3" s="1"/>
  <c r="V10" i="3"/>
  <c r="W10" i="3"/>
  <c r="T10" i="3"/>
  <c r="Q10" i="3"/>
  <c r="P10" i="3"/>
  <c r="F10" i="3"/>
  <c r="R10" i="3" s="1"/>
  <c r="B10" i="3"/>
  <c r="V9" i="3"/>
  <c r="W9" i="3"/>
  <c r="T9" i="3"/>
  <c r="Q9" i="3"/>
  <c r="P9" i="3"/>
  <c r="F9" i="3"/>
  <c r="R9" i="3" s="1"/>
  <c r="B9" i="3"/>
  <c r="S9" i="3" s="1"/>
  <c r="V8" i="3"/>
  <c r="W8" i="3"/>
  <c r="T8" i="3"/>
  <c r="R8" i="3"/>
  <c r="O8" i="3"/>
  <c r="F8" i="3"/>
  <c r="Q8" i="3" s="1"/>
  <c r="B8" i="3"/>
  <c r="P8" i="3" s="1"/>
  <c r="V7" i="3"/>
  <c r="W7" i="3"/>
  <c r="T7" i="3"/>
  <c r="Q7" i="3"/>
  <c r="P7" i="3"/>
  <c r="F7" i="3"/>
  <c r="U7" i="3" s="1"/>
  <c r="B7" i="3"/>
  <c r="R7" i="3" s="1"/>
  <c r="V6" i="3"/>
  <c r="W6" i="3"/>
  <c r="T6" i="3"/>
  <c r="Q6" i="3"/>
  <c r="P6" i="3"/>
  <c r="F6" i="3"/>
  <c r="N6" i="3" s="1"/>
  <c r="B6" i="3"/>
  <c r="M6" i="3" s="1"/>
  <c r="V5" i="3"/>
  <c r="W5" i="3"/>
  <c r="T5" i="3"/>
  <c r="Q5" i="3"/>
  <c r="P5" i="3"/>
  <c r="F5" i="3"/>
  <c r="R5" i="3" s="1"/>
  <c r="B5" i="3"/>
  <c r="O5" i="3" s="1"/>
  <c r="V4" i="3"/>
  <c r="W4" i="3"/>
  <c r="T4" i="3"/>
  <c r="Q4" i="3"/>
  <c r="P4" i="3"/>
  <c r="F4" i="3"/>
  <c r="N4" i="3" s="1"/>
  <c r="B4" i="3"/>
  <c r="S4" i="3" s="1"/>
  <c r="B55" i="2"/>
  <c r="B54" i="2"/>
  <c r="B53" i="2"/>
  <c r="B52" i="2"/>
  <c r="B51" i="2"/>
  <c r="B50" i="2"/>
  <c r="B49" i="2"/>
  <c r="B46" i="2"/>
  <c r="B45" i="2"/>
  <c r="B44" i="2"/>
  <c r="B43" i="2"/>
  <c r="B42" i="2"/>
  <c r="B41" i="2"/>
  <c r="B40" i="2"/>
  <c r="B37" i="2"/>
  <c r="B36" i="2"/>
  <c r="B35" i="2"/>
  <c r="B34" i="2"/>
  <c r="B33" i="2"/>
  <c r="B32" i="2"/>
  <c r="B31" i="2"/>
  <c r="B28" i="2"/>
  <c r="B27" i="2"/>
  <c r="B26" i="2"/>
  <c r="B25" i="2"/>
  <c r="B24" i="2"/>
  <c r="B23" i="2"/>
  <c r="B22" i="2"/>
  <c r="B19" i="2"/>
  <c r="B18" i="2"/>
  <c r="B17" i="2"/>
  <c r="B16" i="2"/>
  <c r="B15" i="2"/>
  <c r="B14" i="2"/>
  <c r="B13" i="2"/>
  <c r="B10" i="2"/>
  <c r="B9" i="2"/>
  <c r="B8" i="2"/>
  <c r="B7" i="2"/>
  <c r="B6" i="2"/>
  <c r="B5" i="2"/>
  <c r="B4" i="2"/>
  <c r="M31" i="3" l="1"/>
  <c r="U69" i="3"/>
  <c r="N110" i="3"/>
  <c r="O113" i="3"/>
  <c r="U123" i="3"/>
  <c r="O124" i="3"/>
  <c r="N125" i="3"/>
  <c r="O127" i="3"/>
  <c r="M128" i="3"/>
  <c r="U132" i="3"/>
  <c r="N31" i="3"/>
  <c r="M45" i="3"/>
  <c r="U46" i="3"/>
  <c r="R68" i="3"/>
  <c r="O69" i="3"/>
  <c r="O110" i="3"/>
  <c r="S128" i="3"/>
  <c r="N23" i="3"/>
  <c r="U31" i="3"/>
  <c r="N34" i="3"/>
  <c r="M43" i="3"/>
  <c r="S63" i="3"/>
  <c r="R117" i="3"/>
  <c r="U11" i="3"/>
  <c r="M8" i="3"/>
  <c r="N14" i="3"/>
  <c r="U19" i="3"/>
  <c r="O23" i="3"/>
  <c r="O26" i="3"/>
  <c r="O31" i="3"/>
  <c r="U32" i="3"/>
  <c r="U34" i="3"/>
  <c r="U38" i="3"/>
  <c r="M53" i="3"/>
  <c r="O56" i="3"/>
  <c r="N19" i="3"/>
  <c r="U4" i="3"/>
  <c r="M5" i="3"/>
  <c r="O6" i="3"/>
  <c r="S8" i="3"/>
  <c r="U14" i="3"/>
  <c r="S16" i="3"/>
  <c r="N75" i="3"/>
  <c r="N135" i="3"/>
  <c r="O136" i="3"/>
  <c r="U83" i="3"/>
  <c r="U84" i="3"/>
  <c r="S115" i="3"/>
  <c r="U116" i="3"/>
  <c r="S132" i="3"/>
  <c r="U41" i="3"/>
  <c r="N43" i="3"/>
  <c r="U44" i="3"/>
  <c r="U51" i="3"/>
  <c r="O52" i="3"/>
  <c r="O63" i="3"/>
  <c r="O64" i="3"/>
  <c r="M65" i="3"/>
  <c r="O66" i="3"/>
  <c r="O67" i="3"/>
  <c r="M68" i="3"/>
  <c r="N78" i="3"/>
  <c r="S80" i="3"/>
  <c r="N81" i="3"/>
  <c r="R89" i="3"/>
  <c r="O111" i="3"/>
  <c r="M112" i="3"/>
  <c r="N133" i="3"/>
  <c r="S134" i="3"/>
  <c r="M48" i="3"/>
  <c r="S55" i="3"/>
  <c r="U75" i="3"/>
  <c r="O81" i="3"/>
  <c r="S83" i="3"/>
  <c r="U113" i="3"/>
  <c r="M115" i="3"/>
  <c r="M124" i="3"/>
  <c r="N129" i="3"/>
  <c r="S130" i="3"/>
  <c r="R132" i="3"/>
  <c r="U134" i="3"/>
  <c r="U81" i="3"/>
  <c r="U133" i="3"/>
  <c r="O46" i="3"/>
  <c r="O55" i="3"/>
  <c r="M57" i="3"/>
  <c r="M72" i="3"/>
  <c r="M85" i="3"/>
  <c r="S86" i="3"/>
  <c r="U130" i="3"/>
  <c r="M131" i="3"/>
  <c r="M135" i="3"/>
  <c r="O86" i="3"/>
  <c r="N115" i="3"/>
  <c r="P134" i="3"/>
  <c r="S98" i="3"/>
  <c r="M100" i="3"/>
  <c r="S101" i="3"/>
  <c r="U103" i="3"/>
  <c r="U104" i="3"/>
  <c r="S107" i="3"/>
  <c r="N108" i="3"/>
  <c r="U118" i="3"/>
  <c r="O119" i="3"/>
  <c r="S120" i="3"/>
  <c r="U125" i="3"/>
  <c r="S126" i="3"/>
  <c r="M127" i="3"/>
  <c r="O131" i="3"/>
  <c r="S46" i="3"/>
  <c r="U78" i="3"/>
  <c r="M83" i="3"/>
  <c r="U6" i="3"/>
  <c r="U24" i="3"/>
  <c r="R57" i="3"/>
  <c r="Q62" i="3"/>
  <c r="M90" i="3"/>
  <c r="S95" i="3"/>
  <c r="U96" i="3"/>
  <c r="U98" i="3"/>
  <c r="O108" i="3"/>
  <c r="M109" i="3"/>
  <c r="M110" i="3"/>
  <c r="N120" i="3"/>
  <c r="N127" i="3"/>
  <c r="S6" i="3"/>
  <c r="U17" i="3"/>
  <c r="O11" i="3"/>
  <c r="U12" i="3"/>
  <c r="O17" i="3"/>
  <c r="S19" i="3"/>
  <c r="U23" i="3"/>
  <c r="O29" i="3"/>
  <c r="O35" i="3"/>
  <c r="M36" i="3"/>
  <c r="N41" i="3"/>
  <c r="N46" i="3"/>
  <c r="O51" i="3"/>
  <c r="U52" i="3"/>
  <c r="S58" i="3"/>
  <c r="N63" i="3"/>
  <c r="U76" i="3"/>
  <c r="N83" i="3"/>
  <c r="S90" i="3"/>
  <c r="U93" i="3"/>
  <c r="M95" i="3"/>
  <c r="O98" i="3"/>
  <c r="S100" i="3"/>
  <c r="M101" i="3"/>
  <c r="O104" i="3"/>
  <c r="M107" i="3"/>
  <c r="S116" i="3"/>
  <c r="O120" i="3"/>
  <c r="O121" i="3"/>
  <c r="R123" i="3"/>
  <c r="N124" i="3"/>
  <c r="M126" i="3"/>
  <c r="S129" i="3"/>
  <c r="O130" i="3"/>
  <c r="R131" i="3"/>
  <c r="N132" i="3"/>
  <c r="O76" i="3"/>
  <c r="M77" i="3"/>
  <c r="S78" i="3"/>
  <c r="U124" i="3"/>
  <c r="R128" i="3"/>
  <c r="O7" i="3"/>
  <c r="O24" i="3"/>
  <c r="S43" i="3"/>
  <c r="S48" i="3"/>
  <c r="U64" i="3"/>
  <c r="O84" i="3"/>
  <c r="P93" i="3"/>
  <c r="N95" i="3"/>
  <c r="N101" i="3"/>
  <c r="N107" i="3"/>
  <c r="S112" i="3"/>
  <c r="O116" i="3"/>
  <c r="N126" i="3"/>
  <c r="U129" i="3"/>
  <c r="R133" i="3"/>
  <c r="N134" i="3"/>
  <c r="N9" i="3"/>
  <c r="O19" i="3"/>
  <c r="N26" i="3"/>
  <c r="S38" i="3"/>
  <c r="N49" i="3"/>
  <c r="N86" i="3"/>
  <c r="U95" i="3"/>
  <c r="U101" i="3"/>
  <c r="M103" i="3"/>
  <c r="U107" i="3"/>
  <c r="S118" i="3"/>
  <c r="M125" i="3"/>
  <c r="U126" i="3"/>
  <c r="R130" i="3"/>
  <c r="M133" i="3"/>
  <c r="U9" i="3"/>
  <c r="M11" i="3"/>
  <c r="O15" i="3"/>
  <c r="M16" i="3"/>
  <c r="N21" i="3"/>
  <c r="U26" i="3"/>
  <c r="M28" i="3"/>
  <c r="N38" i="3"/>
  <c r="U43" i="3"/>
  <c r="U49" i="3"/>
  <c r="M51" i="3"/>
  <c r="N55" i="3"/>
  <c r="N61" i="3"/>
  <c r="S66" i="3"/>
  <c r="S72" i="3"/>
  <c r="N73" i="3"/>
  <c r="O78" i="3"/>
  <c r="O79" i="3"/>
  <c r="M80" i="3"/>
  <c r="U86" i="3"/>
  <c r="P91" i="3"/>
  <c r="M92" i="3"/>
  <c r="O96" i="3"/>
  <c r="M97" i="3"/>
  <c r="S103" i="3"/>
  <c r="N113" i="3"/>
  <c r="N118" i="3"/>
  <c r="S125" i="3"/>
  <c r="N128" i="3"/>
  <c r="R135" i="3"/>
  <c r="N136" i="3"/>
  <c r="O9" i="3"/>
  <c r="U21" i="3"/>
  <c r="M23" i="3"/>
  <c r="S28" i="3"/>
  <c r="P32" i="3"/>
  <c r="M33" i="3"/>
  <c r="S34" i="3"/>
  <c r="O49" i="3"/>
  <c r="S51" i="3"/>
  <c r="U55" i="3"/>
  <c r="U61" i="3"/>
  <c r="N66" i="3"/>
  <c r="U73" i="3"/>
  <c r="M75" i="3"/>
  <c r="Q91" i="3"/>
  <c r="S92" i="3"/>
  <c r="M93" i="3"/>
  <c r="U136" i="3"/>
  <c r="O4" i="3"/>
  <c r="H53" i="4" s="1"/>
  <c r="N11" i="3"/>
  <c r="N29" i="3"/>
  <c r="Q32" i="3"/>
  <c r="O39" i="3"/>
  <c r="O44" i="3"/>
  <c r="U56" i="3"/>
  <c r="R65" i="3"/>
  <c r="O73" i="3"/>
  <c r="S75" i="3"/>
  <c r="N98" i="3"/>
  <c r="S110" i="3"/>
  <c r="R129" i="3"/>
  <c r="M116" i="3"/>
  <c r="O22" i="3"/>
  <c r="S22" i="3"/>
  <c r="M22" i="3"/>
  <c r="O65" i="3"/>
  <c r="U65" i="3"/>
  <c r="N65" i="3"/>
  <c r="R102" i="3"/>
  <c r="S102" i="3"/>
  <c r="M102" i="3"/>
  <c r="Q53" i="3"/>
  <c r="U53" i="3"/>
  <c r="N53" i="3"/>
  <c r="U5" i="3"/>
  <c r="N5" i="3"/>
  <c r="U33" i="3"/>
  <c r="N33" i="3"/>
  <c r="S50" i="3"/>
  <c r="M50" i="3"/>
  <c r="R50" i="3"/>
  <c r="Q97" i="3"/>
  <c r="U97" i="3"/>
  <c r="N97" i="3"/>
  <c r="O10" i="3"/>
  <c r="M10" i="3"/>
  <c r="S10" i="3"/>
  <c r="Q85" i="3"/>
  <c r="U85" i="3"/>
  <c r="N85" i="3"/>
  <c r="O18" i="3"/>
  <c r="S18" i="3"/>
  <c r="M18" i="3"/>
  <c r="P62" i="3"/>
  <c r="S62" i="3"/>
  <c r="M62" i="3"/>
  <c r="R74" i="3"/>
  <c r="S74" i="3"/>
  <c r="M74" i="3"/>
  <c r="O42" i="3"/>
  <c r="S42" i="3"/>
  <c r="M42" i="3"/>
  <c r="S70" i="3"/>
  <c r="M70" i="3"/>
  <c r="R70" i="3"/>
  <c r="O30" i="3"/>
  <c r="S30" i="3"/>
  <c r="M30" i="3"/>
  <c r="U45" i="3"/>
  <c r="N45" i="3"/>
  <c r="R82" i="3"/>
  <c r="S82" i="3"/>
  <c r="M82" i="3"/>
  <c r="O89" i="3"/>
  <c r="U89" i="3"/>
  <c r="N89" i="3"/>
  <c r="Q13" i="3"/>
  <c r="I18" i="4" s="1"/>
  <c r="V18" i="4" s="1"/>
  <c r="U13" i="3"/>
  <c r="N13" i="3"/>
  <c r="O57" i="3"/>
  <c r="U57" i="3"/>
  <c r="N57" i="3"/>
  <c r="Q77" i="3"/>
  <c r="U77" i="3"/>
  <c r="N77" i="3"/>
  <c r="U25" i="3"/>
  <c r="N25" i="3"/>
  <c r="R33" i="3"/>
  <c r="S94" i="3"/>
  <c r="M94" i="3"/>
  <c r="R94" i="3"/>
  <c r="S106" i="3"/>
  <c r="R106" i="3"/>
  <c r="M106" i="3"/>
  <c r="R22" i="3"/>
  <c r="R15" i="3"/>
  <c r="N16" i="3"/>
  <c r="S25" i="3"/>
  <c r="R27" i="3"/>
  <c r="N28" i="3"/>
  <c r="S33" i="3"/>
  <c r="R35" i="3"/>
  <c r="N36" i="3"/>
  <c r="R39" i="3"/>
  <c r="N40" i="3"/>
  <c r="S45" i="3"/>
  <c r="R47" i="3"/>
  <c r="N48" i="3"/>
  <c r="S53" i="3"/>
  <c r="R59" i="3"/>
  <c r="N60" i="3"/>
  <c r="R67" i="3"/>
  <c r="N68" i="3"/>
  <c r="N72" i="3"/>
  <c r="S77" i="3"/>
  <c r="R79" i="3"/>
  <c r="N80" i="3"/>
  <c r="S85" i="3"/>
  <c r="R87" i="3"/>
  <c r="N92" i="3"/>
  <c r="S97" i="3"/>
  <c r="R99" i="3"/>
  <c r="N100" i="3"/>
  <c r="S109" i="3"/>
  <c r="R111" i="3"/>
  <c r="N112" i="3"/>
  <c r="M114" i="3"/>
  <c r="U115" i="3"/>
  <c r="O118" i="3"/>
  <c r="R119" i="3"/>
  <c r="R4" i="3"/>
  <c r="M7" i="3"/>
  <c r="U8" i="3"/>
  <c r="R12" i="3"/>
  <c r="P14" i="3"/>
  <c r="M15" i="3"/>
  <c r="U16" i="3"/>
  <c r="R24" i="3"/>
  <c r="M27" i="3"/>
  <c r="U28" i="3"/>
  <c r="M35" i="3"/>
  <c r="U36" i="3"/>
  <c r="M39" i="3"/>
  <c r="U40" i="3"/>
  <c r="R44" i="3"/>
  <c r="M47" i="3"/>
  <c r="U48" i="3"/>
  <c r="R52" i="3"/>
  <c r="R56" i="3"/>
  <c r="M59" i="3"/>
  <c r="U60" i="3"/>
  <c r="R64" i="3"/>
  <c r="M67" i="3"/>
  <c r="U68" i="3"/>
  <c r="U72" i="3"/>
  <c r="R76" i="3"/>
  <c r="M79" i="3"/>
  <c r="U80" i="3"/>
  <c r="R84" i="3"/>
  <c r="M87" i="3"/>
  <c r="M91" i="3"/>
  <c r="U92" i="3"/>
  <c r="R96" i="3"/>
  <c r="M99" i="3"/>
  <c r="U100" i="3"/>
  <c r="R104" i="3"/>
  <c r="R108" i="3"/>
  <c r="N109" i="3"/>
  <c r="M111" i="3"/>
  <c r="U112" i="3"/>
  <c r="S114" i="3"/>
  <c r="N117" i="3"/>
  <c r="M119" i="3"/>
  <c r="N8" i="3"/>
  <c r="S13" i="3"/>
  <c r="M4" i="3"/>
  <c r="S7" i="3"/>
  <c r="K16" i="4" s="1"/>
  <c r="N10" i="3"/>
  <c r="M12" i="3"/>
  <c r="R17" i="3"/>
  <c r="N18" i="3"/>
  <c r="R21" i="3"/>
  <c r="N22" i="3"/>
  <c r="M24" i="3"/>
  <c r="S27" i="3"/>
  <c r="N30" i="3"/>
  <c r="M32" i="3"/>
  <c r="R41" i="3"/>
  <c r="N42" i="3"/>
  <c r="M44" i="3"/>
  <c r="S47" i="3"/>
  <c r="N50" i="3"/>
  <c r="M52" i="3"/>
  <c r="M56" i="3"/>
  <c r="S59" i="3"/>
  <c r="R61" i="3"/>
  <c r="N62" i="3"/>
  <c r="M64" i="3"/>
  <c r="R69" i="3"/>
  <c r="N70" i="3"/>
  <c r="N74" i="3"/>
  <c r="M76" i="3"/>
  <c r="N82" i="3"/>
  <c r="M84" i="3"/>
  <c r="N94" i="3"/>
  <c r="M96" i="3"/>
  <c r="S99" i="3"/>
  <c r="N102" i="3"/>
  <c r="M104" i="3"/>
  <c r="N106" i="3"/>
  <c r="M108" i="3"/>
  <c r="U109" i="3"/>
  <c r="N114" i="3"/>
  <c r="U117" i="3"/>
  <c r="R121" i="3"/>
  <c r="R18" i="3"/>
  <c r="R30" i="3"/>
  <c r="S5" i="3"/>
  <c r="R6" i="3"/>
  <c r="N7" i="3"/>
  <c r="M9" i="3"/>
  <c r="U10" i="3"/>
  <c r="N15" i="3"/>
  <c r="M17" i="3"/>
  <c r="M21" i="3"/>
  <c r="N27" i="3"/>
  <c r="M29" i="3"/>
  <c r="R34" i="3"/>
  <c r="N35" i="3"/>
  <c r="R38" i="3"/>
  <c r="N39" i="3"/>
  <c r="M41" i="3"/>
  <c r="U42" i="3"/>
  <c r="N47" i="3"/>
  <c r="M49" i="3"/>
  <c r="U50" i="3"/>
  <c r="N59" i="3"/>
  <c r="M61" i="3"/>
  <c r="R66" i="3"/>
  <c r="N67" i="3"/>
  <c r="M69" i="3"/>
  <c r="U70" i="3"/>
  <c r="M73" i="3"/>
  <c r="U74" i="3"/>
  <c r="N79" i="3"/>
  <c r="M81" i="3"/>
  <c r="U82" i="3"/>
  <c r="N87" i="3"/>
  <c r="N91" i="3"/>
  <c r="U94" i="3"/>
  <c r="N99" i="3"/>
  <c r="U102" i="3"/>
  <c r="U106" i="3"/>
  <c r="N111" i="3"/>
  <c r="U114" i="3"/>
  <c r="N119" i="3"/>
  <c r="M121" i="3"/>
  <c r="N121" i="3"/>
  <c r="H15" i="4"/>
  <c r="U15" i="4" s="1"/>
  <c r="H42" i="4"/>
  <c r="U42" i="4" s="1"/>
  <c r="H8" i="4"/>
  <c r="U8" i="4" s="1"/>
  <c r="H37" i="4"/>
  <c r="U37" i="4" s="1"/>
  <c r="I8" i="4"/>
  <c r="V8" i="4" s="1"/>
  <c r="J36" i="4"/>
  <c r="W36" i="4" s="1"/>
  <c r="K8" i="4"/>
  <c r="I34" i="4"/>
  <c r="V34" i="4" s="1"/>
  <c r="K12" i="4"/>
  <c r="I54" i="4"/>
  <c r="V54" i="4" s="1"/>
  <c r="I27" i="4" l="1"/>
  <c r="V27" i="4" s="1"/>
  <c r="L48" i="4"/>
  <c r="K6" i="4"/>
  <c r="H43" i="4"/>
  <c r="U43" i="4" s="1"/>
  <c r="K33" i="4"/>
  <c r="G54" i="4"/>
  <c r="J6" i="4"/>
  <c r="W6" i="4" s="1"/>
  <c r="G16" i="4"/>
  <c r="J28" i="4"/>
  <c r="W28" i="4" s="1"/>
  <c r="G57" i="4"/>
  <c r="H55" i="4"/>
  <c r="U55" i="4" s="1"/>
  <c r="K36" i="4"/>
  <c r="G18" i="4"/>
  <c r="I16" i="4"/>
  <c r="V16" i="4" s="1"/>
  <c r="I43" i="4"/>
  <c r="I57" i="4"/>
  <c r="L30" i="4"/>
  <c r="K54" i="4"/>
  <c r="G34" i="4"/>
  <c r="K11" i="4"/>
  <c r="H34" i="4"/>
  <c r="U34" i="4" s="1"/>
  <c r="H47" i="4"/>
  <c r="U47" i="4" s="1"/>
  <c r="I38" i="4"/>
  <c r="V38" i="4" s="1"/>
  <c r="I21" i="4"/>
  <c r="V21" i="4" s="1"/>
  <c r="L53" i="4"/>
  <c r="L36" i="4"/>
  <c r="J55" i="4"/>
  <c r="W55" i="4" s="1"/>
  <c r="K25" i="4"/>
  <c r="I53" i="4"/>
  <c r="V53" i="4" s="1"/>
  <c r="L27" i="4"/>
  <c r="G7" i="4"/>
  <c r="H30" i="4"/>
  <c r="U30" i="4" s="1"/>
  <c r="K38" i="4"/>
  <c r="I33" i="4"/>
  <c r="V33" i="4" s="1"/>
  <c r="I28" i="4"/>
  <c r="V28" i="4" s="1"/>
  <c r="H45" i="4"/>
  <c r="U45" i="4" s="1"/>
  <c r="H6" i="4"/>
  <c r="U6" i="4" s="1"/>
  <c r="H48" i="4"/>
  <c r="U48" i="4" s="1"/>
  <c r="I20" i="4"/>
  <c r="H54" i="4"/>
  <c r="U54" i="4" s="1"/>
  <c r="J30" i="4"/>
  <c r="W30" i="4" s="1"/>
  <c r="I51" i="4"/>
  <c r="V51" i="4" s="1"/>
  <c r="G19" i="4"/>
  <c r="L28" i="4"/>
  <c r="H56" i="4"/>
  <c r="U56" i="4" s="1"/>
  <c r="H51" i="4"/>
  <c r="F51" i="4" s="1"/>
  <c r="I19" i="4"/>
  <c r="V19" i="4" s="1"/>
  <c r="H19" i="4"/>
  <c r="U19" i="4" s="1"/>
  <c r="K51" i="4"/>
  <c r="G48" i="4"/>
  <c r="H17" i="4"/>
  <c r="U17" i="4" s="1"/>
  <c r="H46" i="4"/>
  <c r="U46" i="4" s="1"/>
  <c r="I24" i="4"/>
  <c r="V24" i="4" s="1"/>
  <c r="K47" i="4"/>
  <c r="H20" i="4"/>
  <c r="U20" i="4" s="1"/>
  <c r="G9" i="4"/>
  <c r="J9" i="4"/>
  <c r="W9" i="4" s="1"/>
  <c r="L34" i="4"/>
  <c r="L37" i="4"/>
  <c r="K55" i="4"/>
  <c r="H27" i="4"/>
  <c r="U27" i="4" s="1"/>
  <c r="H25" i="4"/>
  <c r="U25" i="4" s="1"/>
  <c r="K37" i="4"/>
  <c r="J46" i="4"/>
  <c r="W46" i="4" s="1"/>
  <c r="I17" i="4"/>
  <c r="V17" i="4" s="1"/>
  <c r="I44" i="4"/>
  <c r="L24" i="4"/>
  <c r="H44" i="4"/>
  <c r="U44" i="4" s="1"/>
  <c r="L20" i="4"/>
  <c r="G52" i="4"/>
  <c r="T52" i="4" s="1"/>
  <c r="J54" i="4"/>
  <c r="W54" i="4" s="1"/>
  <c r="I15" i="4"/>
  <c r="J52" i="4"/>
  <c r="W52" i="4" s="1"/>
  <c r="K26" i="4"/>
  <c r="J43" i="4"/>
  <c r="W43" i="4" s="1"/>
  <c r="H10" i="4"/>
  <c r="U10" i="4" s="1"/>
  <c r="G39" i="4"/>
  <c r="H18" i="4"/>
  <c r="U18" i="4" s="1"/>
  <c r="S18" i="4" s="1"/>
  <c r="K42" i="4"/>
  <c r="H11" i="4"/>
  <c r="U11" i="4" s="1"/>
  <c r="H52" i="4"/>
  <c r="U52" i="4" s="1"/>
  <c r="K52" i="4"/>
  <c r="J42" i="4"/>
  <c r="W42" i="4" s="1"/>
  <c r="H16" i="4"/>
  <c r="U16" i="4" s="1"/>
  <c r="S16" i="4" s="1"/>
  <c r="G21" i="4"/>
  <c r="L35" i="4"/>
  <c r="L9" i="4"/>
  <c r="J33" i="4"/>
  <c r="W33" i="4" s="1"/>
  <c r="J53" i="4"/>
  <c r="W53" i="4" s="1"/>
  <c r="K46" i="4"/>
  <c r="G51" i="4"/>
  <c r="T51" i="4" s="1"/>
  <c r="J27" i="4"/>
  <c r="W27" i="4" s="1"/>
  <c r="L10" i="4"/>
  <c r="L39" i="4"/>
  <c r="G30" i="4"/>
  <c r="L8" i="4"/>
  <c r="M8" i="4" s="1"/>
  <c r="G17" i="4"/>
  <c r="T17" i="4" s="1"/>
  <c r="J26" i="4"/>
  <c r="W26" i="4" s="1"/>
  <c r="J57" i="4"/>
  <c r="W57" i="4" s="1"/>
  <c r="J34" i="4"/>
  <c r="W34" i="4" s="1"/>
  <c r="J20" i="4"/>
  <c r="W20" i="4" s="1"/>
  <c r="L29" i="4"/>
  <c r="J47" i="4"/>
  <c r="W47" i="4" s="1"/>
  <c r="J19" i="4"/>
  <c r="W19" i="4" s="1"/>
  <c r="G29" i="4"/>
  <c r="T29" i="4" s="1"/>
  <c r="K10" i="4"/>
  <c r="L25" i="4"/>
  <c r="K24" i="4"/>
  <c r="M24" i="4" s="1"/>
  <c r="J44" i="4"/>
  <c r="W44" i="4" s="1"/>
  <c r="L38" i="4"/>
  <c r="M38" i="4" s="1"/>
  <c r="K9" i="4"/>
  <c r="M9" i="4" s="1"/>
  <c r="G12" i="4"/>
  <c r="G6" i="4"/>
  <c r="T6" i="4" s="1"/>
  <c r="V15" i="4"/>
  <c r="F15" i="4"/>
  <c r="K56" i="4"/>
  <c r="K48" i="4"/>
  <c r="G55" i="4"/>
  <c r="J39" i="4"/>
  <c r="W39" i="4" s="1"/>
  <c r="K18" i="4"/>
  <c r="I37" i="4"/>
  <c r="V37" i="4" s="1"/>
  <c r="S37" i="4" s="1"/>
  <c r="I25" i="4"/>
  <c r="V25" i="4" s="1"/>
  <c r="G10" i="4"/>
  <c r="G46" i="4"/>
  <c r="T46" i="4" s="1"/>
  <c r="K34" i="4"/>
  <c r="K20" i="4"/>
  <c r="M20" i="4" s="1"/>
  <c r="G56" i="4"/>
  <c r="K44" i="4"/>
  <c r="K30" i="4"/>
  <c r="M30" i="4" s="1"/>
  <c r="L12" i="4"/>
  <c r="M12" i="4" s="1"/>
  <c r="I52" i="4"/>
  <c r="V52" i="4" s="1"/>
  <c r="H35" i="4"/>
  <c r="U35" i="4" s="1"/>
  <c r="L16" i="4"/>
  <c r="M16" i="4" s="1"/>
  <c r="L52" i="4"/>
  <c r="I42" i="4"/>
  <c r="V42" i="4" s="1"/>
  <c r="S42" i="4" s="1"/>
  <c r="H26" i="4"/>
  <c r="U26" i="4" s="1"/>
  <c r="K7" i="4"/>
  <c r="G45" i="4"/>
  <c r="G33" i="4"/>
  <c r="T33" i="4" s="1"/>
  <c r="L21" i="4"/>
  <c r="H9" i="4"/>
  <c r="U9" i="4" s="1"/>
  <c r="J51" i="4"/>
  <c r="W51" i="4" s="1"/>
  <c r="H36" i="4"/>
  <c r="U36" i="4" s="1"/>
  <c r="I7" i="4"/>
  <c r="V7" i="4" s="1"/>
  <c r="K57" i="4"/>
  <c r="G36" i="4"/>
  <c r="L17" i="4"/>
  <c r="I29" i="4"/>
  <c r="V29" i="4" s="1"/>
  <c r="K15" i="4"/>
  <c r="G53" i="4"/>
  <c r="T53" i="4" s="1"/>
  <c r="J29" i="4"/>
  <c r="W29" i="4" s="1"/>
  <c r="L11" i="4"/>
  <c r="L47" i="4"/>
  <c r="I30" i="4"/>
  <c r="V30" i="4" s="1"/>
  <c r="G20" i="4"/>
  <c r="I56" i="4"/>
  <c r="V56" i="4" s="1"/>
  <c r="S56" i="4" s="1"/>
  <c r="H39" i="4"/>
  <c r="U39" i="4" s="1"/>
  <c r="K28" i="4"/>
  <c r="M28" i="4" s="1"/>
  <c r="J16" i="4"/>
  <c r="W16" i="4" s="1"/>
  <c r="I47" i="4"/>
  <c r="V47" i="4" s="1"/>
  <c r="G37" i="4"/>
  <c r="T37" i="4" s="1"/>
  <c r="G25" i="4"/>
  <c r="G8" i="4"/>
  <c r="J45" i="4"/>
  <c r="W45" i="4" s="1"/>
  <c r="G28" i="4"/>
  <c r="J12" i="4"/>
  <c r="W12" i="4" s="1"/>
  <c r="J48" i="4"/>
  <c r="W48" i="4" s="1"/>
  <c r="G35" i="4"/>
  <c r="K17" i="4"/>
  <c r="I55" i="4"/>
  <c r="G38" i="4"/>
  <c r="H29" i="4"/>
  <c r="U29" i="4" s="1"/>
  <c r="K19" i="4"/>
  <c r="J7" i="4"/>
  <c r="W7" i="4" s="1"/>
  <c r="K45" i="4"/>
  <c r="H24" i="4"/>
  <c r="U24" i="4" s="1"/>
  <c r="S24" i="4" s="1"/>
  <c r="I39" i="4"/>
  <c r="V39" i="4" s="1"/>
  <c r="S39" i="4" s="1"/>
  <c r="L26" i="4"/>
  <c r="M26" i="4" s="1"/>
  <c r="I11" i="4"/>
  <c r="I46" i="4"/>
  <c r="V46" i="4" s="1"/>
  <c r="J35" i="4"/>
  <c r="W35" i="4" s="1"/>
  <c r="J21" i="4"/>
  <c r="W21" i="4" s="1"/>
  <c r="J8" i="4"/>
  <c r="W8" i="4" s="1"/>
  <c r="L43" i="4"/>
  <c r="I26" i="4"/>
  <c r="F26" i="4" s="1"/>
  <c r="G11" i="4"/>
  <c r="G47" i="4"/>
  <c r="H33" i="4"/>
  <c r="U33" i="4" s="1"/>
  <c r="L15" i="4"/>
  <c r="K53" i="4"/>
  <c r="M53" i="4" s="1"/>
  <c r="H38" i="4"/>
  <c r="U38" i="4" s="1"/>
  <c r="S38" i="4" s="1"/>
  <c r="K27" i="4"/>
  <c r="J17" i="4"/>
  <c r="W17" i="4" s="1"/>
  <c r="I6" i="4"/>
  <c r="L45" i="4"/>
  <c r="L18" i="4"/>
  <c r="H7" i="4"/>
  <c r="U7" i="4" s="1"/>
  <c r="L54" i="4"/>
  <c r="M54" i="4" s="1"/>
  <c r="J10" i="4"/>
  <c r="W10" i="4" s="1"/>
  <c r="I10" i="4"/>
  <c r="V10" i="4" s="1"/>
  <c r="L46" i="4"/>
  <c r="L33" i="4"/>
  <c r="L19" i="4"/>
  <c r="L6" i="4"/>
  <c r="M6" i="4" s="1"/>
  <c r="G42" i="4"/>
  <c r="T42" i="4" s="1"/>
  <c r="J25" i="4"/>
  <c r="W25" i="4" s="1"/>
  <c r="I9" i="4"/>
  <c r="F9" i="4" s="1"/>
  <c r="E9" i="4" s="1"/>
  <c r="I45" i="4"/>
  <c r="V45" i="4" s="1"/>
  <c r="K29" i="4"/>
  <c r="I12" i="4"/>
  <c r="V12" i="4" s="1"/>
  <c r="L51" i="4"/>
  <c r="M51" i="4" s="1"/>
  <c r="I36" i="4"/>
  <c r="V36" i="4" s="1"/>
  <c r="G26" i="4"/>
  <c r="J15" i="4"/>
  <c r="W15" i="4" s="1"/>
  <c r="H57" i="4"/>
  <c r="U57" i="4" s="1"/>
  <c r="G43" i="4"/>
  <c r="T43" i="4" s="1"/>
  <c r="L55" i="4"/>
  <c r="J37" i="4"/>
  <c r="W37" i="4" s="1"/>
  <c r="L57" i="4"/>
  <c r="L44" i="4"/>
  <c r="G24" i="4"/>
  <c r="T24" i="4" s="1"/>
  <c r="J56" i="4"/>
  <c r="W56" i="4" s="1"/>
  <c r="L42" i="4"/>
  <c r="M42" i="4" s="1"/>
  <c r="G27" i="4"/>
  <c r="T27" i="4" s="1"/>
  <c r="G15" i="4"/>
  <c r="T15" i="4" s="1"/>
  <c r="K35" i="4"/>
  <c r="K21" i="4"/>
  <c r="G44" i="4"/>
  <c r="T44" i="4" s="1"/>
  <c r="J18" i="4"/>
  <c r="W18" i="4" s="1"/>
  <c r="L56" i="4"/>
  <c r="J38" i="4"/>
  <c r="W38" i="4" s="1"/>
  <c r="H21" i="4"/>
  <c r="U21" i="4" s="1"/>
  <c r="S21" i="4" s="1"/>
  <c r="L7" i="4"/>
  <c r="K43" i="4"/>
  <c r="H28" i="4"/>
  <c r="J11" i="4"/>
  <c r="W11" i="4" s="1"/>
  <c r="I48" i="4"/>
  <c r="V48" i="4" s="1"/>
  <c r="I35" i="4"/>
  <c r="V35" i="4" s="1"/>
  <c r="S35" i="4" s="1"/>
  <c r="J24" i="4"/>
  <c r="W24" i="4" s="1"/>
  <c r="H12" i="4"/>
  <c r="U12" i="4" s="1"/>
  <c r="K39" i="4"/>
  <c r="S19" i="4"/>
  <c r="S30" i="4"/>
  <c r="F34" i="4"/>
  <c r="E34" i="4" s="1"/>
  <c r="S15" i="4"/>
  <c r="F8" i="4"/>
  <c r="E8" i="4" s="1"/>
  <c r="F7" i="4"/>
  <c r="E7" i="4" s="1"/>
  <c r="T20" i="4"/>
  <c r="T25" i="4"/>
  <c r="T8" i="4"/>
  <c r="T28" i="4"/>
  <c r="T35" i="4"/>
  <c r="F55" i="4"/>
  <c r="V55" i="4"/>
  <c r="S55" i="4" s="1"/>
  <c r="T38" i="4"/>
  <c r="V57" i="4"/>
  <c r="T48" i="4"/>
  <c r="S10" i="4"/>
  <c r="S54" i="4"/>
  <c r="F11" i="4"/>
  <c r="E11" i="4" s="1"/>
  <c r="V11" i="4"/>
  <c r="S11" i="4" s="1"/>
  <c r="T11" i="4"/>
  <c r="T47" i="4"/>
  <c r="S33" i="4"/>
  <c r="R33" i="4" s="1"/>
  <c r="F6" i="4"/>
  <c r="V6" i="4"/>
  <c r="S6" i="4" s="1"/>
  <c r="T30" i="4"/>
  <c r="T57" i="4"/>
  <c r="F20" i="4"/>
  <c r="E20" i="4" s="1"/>
  <c r="V20" i="4"/>
  <c r="S20" i="4" s="1"/>
  <c r="T39" i="4"/>
  <c r="S27" i="4"/>
  <c r="S34" i="4"/>
  <c r="S8" i="4"/>
  <c r="T9" i="4"/>
  <c r="T12" i="4"/>
  <c r="V44" i="4"/>
  <c r="S44" i="4" s="1"/>
  <c r="T26" i="4"/>
  <c r="T55" i="4"/>
  <c r="F53" i="4"/>
  <c r="U53" i="4"/>
  <c r="S53" i="4" s="1"/>
  <c r="T10" i="4"/>
  <c r="T56" i="4"/>
  <c r="T45" i="4"/>
  <c r="T36" i="4"/>
  <c r="S17" i="4"/>
  <c r="T54" i="4"/>
  <c r="T16" i="4"/>
  <c r="T21" i="4"/>
  <c r="T19" i="4"/>
  <c r="F43" i="4"/>
  <c r="V43" i="4"/>
  <c r="S43" i="4" s="1"/>
  <c r="T34" i="4"/>
  <c r="T7" i="4"/>
  <c r="T18" i="4"/>
  <c r="S47" i="4"/>
  <c r="S52" i="4"/>
  <c r="M48" i="4"/>
  <c r="F27" i="4"/>
  <c r="F54" i="4"/>
  <c r="E54" i="4" s="1"/>
  <c r="F33" i="4"/>
  <c r="E33" i="4" s="1"/>
  <c r="F25" i="4"/>
  <c r="E25" i="4" s="1"/>
  <c r="F30" i="4"/>
  <c r="E30" i="4" s="1"/>
  <c r="F17" i="4"/>
  <c r="E17" i="4" s="1"/>
  <c r="F52" i="4"/>
  <c r="M36" i="4"/>
  <c r="F19" i="4"/>
  <c r="E19" i="4" s="1"/>
  <c r="M33" i="4" l="1"/>
  <c r="N33" i="4" s="1"/>
  <c r="M34" i="4"/>
  <c r="P34" i="4" s="1"/>
  <c r="M37" i="4"/>
  <c r="S25" i="4"/>
  <c r="E51" i="4"/>
  <c r="S48" i="4"/>
  <c r="R48" i="4" s="1"/>
  <c r="S46" i="4"/>
  <c r="F44" i="4"/>
  <c r="M25" i="4"/>
  <c r="N25" i="4" s="1"/>
  <c r="F16" i="4"/>
  <c r="E16" i="4" s="1"/>
  <c r="P16" i="4" s="1"/>
  <c r="F18" i="4"/>
  <c r="E18" i="4" s="1"/>
  <c r="E55" i="4"/>
  <c r="M55" i="4"/>
  <c r="P55" i="4" s="1"/>
  <c r="M47" i="4"/>
  <c r="F46" i="4"/>
  <c r="E46" i="4" s="1"/>
  <c r="S45" i="4"/>
  <c r="M27" i="4"/>
  <c r="M11" i="4"/>
  <c r="N11" i="4" s="1"/>
  <c r="E52" i="4"/>
  <c r="F29" i="4"/>
  <c r="U51" i="4"/>
  <c r="S51" i="4" s="1"/>
  <c r="R51" i="4" s="1"/>
  <c r="F56" i="4"/>
  <c r="E56" i="4" s="1"/>
  <c r="E53" i="4"/>
  <c r="P53" i="4" s="1"/>
  <c r="M35" i="4"/>
  <c r="M10" i="4"/>
  <c r="M17" i="4"/>
  <c r="N17" i="4" s="1"/>
  <c r="M46" i="4"/>
  <c r="M52" i="4"/>
  <c r="M39" i="4"/>
  <c r="E29" i="4"/>
  <c r="E6" i="4"/>
  <c r="N6" i="4" s="1"/>
  <c r="M15" i="4"/>
  <c r="M56" i="4"/>
  <c r="M21" i="4"/>
  <c r="M29" i="4"/>
  <c r="M19" i="4"/>
  <c r="N19" i="4" s="1"/>
  <c r="M44" i="4"/>
  <c r="M43" i="4"/>
  <c r="R24" i="4"/>
  <c r="S7" i="4"/>
  <c r="R7" i="4" s="1"/>
  <c r="M18" i="4"/>
  <c r="N18" i="4" s="1"/>
  <c r="F24" i="4"/>
  <c r="E24" i="4" s="1"/>
  <c r="N24" i="4" s="1"/>
  <c r="E27" i="4"/>
  <c r="F47" i="4"/>
  <c r="E47" i="4" s="1"/>
  <c r="R45" i="4"/>
  <c r="F10" i="4"/>
  <c r="E10" i="4" s="1"/>
  <c r="F45" i="4"/>
  <c r="E45" i="4" s="1"/>
  <c r="E44" i="4"/>
  <c r="E43" i="4"/>
  <c r="E26" i="4"/>
  <c r="P26" i="4" s="1"/>
  <c r="S12" i="4"/>
  <c r="R12" i="4" s="1"/>
  <c r="M45" i="4"/>
  <c r="F12" i="4"/>
  <c r="E12" i="4" s="1"/>
  <c r="N12" i="4" s="1"/>
  <c r="M57" i="4"/>
  <c r="M7" i="4"/>
  <c r="P7" i="4" s="1"/>
  <c r="R42" i="4"/>
  <c r="F48" i="4"/>
  <c r="E48" i="4" s="1"/>
  <c r="P48" i="4" s="1"/>
  <c r="F35" i="4"/>
  <c r="E35" i="4" s="1"/>
  <c r="V26" i="4"/>
  <c r="S26" i="4" s="1"/>
  <c r="R26" i="4" s="1"/>
  <c r="S36" i="4"/>
  <c r="R36" i="4" s="1"/>
  <c r="F42" i="4"/>
  <c r="E42" i="4" s="1"/>
  <c r="P42" i="4" s="1"/>
  <c r="F36" i="4"/>
  <c r="E36" i="4" s="1"/>
  <c r="N36" i="4" s="1"/>
  <c r="S29" i="4"/>
  <c r="R29" i="4" s="1"/>
  <c r="S2" i="4"/>
  <c r="R2" i="6" s="1"/>
  <c r="E15" i="4"/>
  <c r="S57" i="4"/>
  <c r="R57" i="4" s="1"/>
  <c r="F37" i="4"/>
  <c r="E37" i="4" s="1"/>
  <c r="P37" i="4" s="1"/>
  <c r="R21" i="4"/>
  <c r="V9" i="4"/>
  <c r="S9" i="4" s="1"/>
  <c r="R9" i="4" s="1"/>
  <c r="F57" i="4"/>
  <c r="E57" i="4" s="1"/>
  <c r="R15" i="4"/>
  <c r="U28" i="4"/>
  <c r="S28" i="4" s="1"/>
  <c r="R28" i="4" s="1"/>
  <c r="F28" i="4"/>
  <c r="E28" i="4" s="1"/>
  <c r="P28" i="4" s="1"/>
  <c r="F39" i="4"/>
  <c r="E39" i="4" s="1"/>
  <c r="F38" i="4"/>
  <c r="E38" i="4" s="1"/>
  <c r="N38" i="4" s="1"/>
  <c r="F21" i="4"/>
  <c r="E21" i="4" s="1"/>
  <c r="R19" i="4"/>
  <c r="R56" i="4"/>
  <c r="R30" i="4"/>
  <c r="R16" i="4"/>
  <c r="R39" i="4"/>
  <c r="N8" i="4"/>
  <c r="R17" i="4"/>
  <c r="N20" i="4"/>
  <c r="R37" i="4"/>
  <c r="R18" i="4"/>
  <c r="P20" i="4"/>
  <c r="R44" i="4"/>
  <c r="R34" i="4"/>
  <c r="R46" i="4"/>
  <c r="R38" i="4"/>
  <c r="N9" i="4"/>
  <c r="R27" i="4"/>
  <c r="R35" i="4"/>
  <c r="R52" i="4"/>
  <c r="R10" i="4"/>
  <c r="R47" i="4"/>
  <c r="R6" i="4"/>
  <c r="R20" i="4"/>
  <c r="R11" i="4"/>
  <c r="R8" i="4"/>
  <c r="R53" i="4"/>
  <c r="R55" i="4"/>
  <c r="R43" i="4"/>
  <c r="R25" i="4"/>
  <c r="R54" i="4"/>
  <c r="P30" i="4"/>
  <c r="P8" i="4"/>
  <c r="N54" i="4"/>
  <c r="P54" i="4"/>
  <c r="N30" i="4"/>
  <c r="P51" i="4"/>
  <c r="P9" i="4"/>
  <c r="N51" i="4"/>
  <c r="P33" i="4" l="1"/>
  <c r="N34" i="4"/>
  <c r="P25" i="4"/>
  <c r="N27" i="4"/>
  <c r="P11" i="4"/>
  <c r="N16" i="4"/>
  <c r="N55" i="4"/>
  <c r="P47" i="4"/>
  <c r="N52" i="4"/>
  <c r="N46" i="4"/>
  <c r="N53" i="4"/>
  <c r="N35" i="4"/>
  <c r="N10" i="4"/>
  <c r="P46" i="4"/>
  <c r="P17" i="4"/>
  <c r="N39" i="4"/>
  <c r="P52" i="4"/>
  <c r="P6" i="4"/>
  <c r="P24" i="4"/>
  <c r="P10" i="4"/>
  <c r="N45" i="4"/>
  <c r="N29" i="4"/>
  <c r="P15" i="4"/>
  <c r="P56" i="4"/>
  <c r="P29" i="4"/>
  <c r="P21" i="4"/>
  <c r="P43" i="4"/>
  <c r="P19" i="4"/>
  <c r="P18" i="4"/>
  <c r="N44" i="4"/>
  <c r="N47" i="4"/>
  <c r="N43" i="4"/>
  <c r="P27" i="4"/>
  <c r="P45" i="4"/>
  <c r="P36" i="4"/>
  <c r="P44" i="4"/>
  <c r="P38" i="4"/>
  <c r="N7" i="4"/>
  <c r="N37" i="4"/>
  <c r="N42" i="4"/>
  <c r="P12" i="4"/>
  <c r="N21" i="4"/>
  <c r="N48" i="4"/>
  <c r="P35" i="4"/>
  <c r="N28" i="4"/>
  <c r="N57" i="4"/>
  <c r="N26" i="4"/>
  <c r="P39" i="4"/>
  <c r="N56" i="4"/>
  <c r="N15" i="4"/>
  <c r="P57" i="4"/>
  <c r="C12" i="4" l="1"/>
  <c r="A12" i="4" s="1"/>
  <c r="C38" i="4"/>
  <c r="A38" i="4" s="1"/>
  <c r="Q8" i="4"/>
  <c r="Q27" i="4"/>
  <c r="Q55" i="4"/>
  <c r="Q16" i="4"/>
  <c r="Q21" i="4"/>
  <c r="Q15" i="4"/>
  <c r="Q20" i="4"/>
  <c r="Q18" i="4"/>
  <c r="Q17" i="4"/>
  <c r="Q19" i="4"/>
  <c r="Q29" i="4"/>
  <c r="Q46" i="4"/>
  <c r="Q44" i="4"/>
  <c r="C6" i="4"/>
  <c r="E4" i="5" s="1"/>
  <c r="C7" i="4"/>
  <c r="A7" i="4" s="1"/>
  <c r="C9" i="4"/>
  <c r="A9" i="4" s="1"/>
  <c r="Q42" i="4"/>
  <c r="Q47" i="4"/>
  <c r="Q43" i="4"/>
  <c r="Q45" i="4"/>
  <c r="Q26" i="4"/>
  <c r="Q30" i="4"/>
  <c r="Q24" i="4"/>
  <c r="Q28" i="4"/>
  <c r="Q25" i="4"/>
  <c r="C11" i="4"/>
  <c r="A11" i="4" s="1"/>
  <c r="C36" i="4"/>
  <c r="A36" i="4" s="1"/>
  <c r="Q6" i="4"/>
  <c r="Q48" i="4"/>
  <c r="C37" i="4"/>
  <c r="A37" i="4" s="1"/>
  <c r="C35" i="4"/>
  <c r="A35" i="4" s="1"/>
  <c r="C8" i="4"/>
  <c r="A8" i="4" s="1"/>
  <c r="C10" i="4"/>
  <c r="A10" i="4" s="1"/>
  <c r="C20" i="4"/>
  <c r="A20" i="4" s="1"/>
  <c r="C45" i="4"/>
  <c r="A45" i="4" s="1"/>
  <c r="C25" i="4"/>
  <c r="A25" i="4" s="1"/>
  <c r="Q7" i="4"/>
  <c r="C48" i="4"/>
  <c r="A48" i="4" s="1"/>
  <c r="C15" i="4"/>
  <c r="A15" i="4" s="1"/>
  <c r="C33" i="4"/>
  <c r="E34" i="5" s="1"/>
  <c r="C39" i="4"/>
  <c r="A39" i="4" s="1"/>
  <c r="C24" i="4"/>
  <c r="G22" i="5" s="1"/>
  <c r="C34" i="4"/>
  <c r="A34" i="4" s="1"/>
  <c r="C27" i="4"/>
  <c r="A27" i="4" s="1"/>
  <c r="C53" i="4"/>
  <c r="A53" i="4" s="1"/>
  <c r="C46" i="4"/>
  <c r="A46" i="4" s="1"/>
  <c r="C28" i="4"/>
  <c r="A28" i="4" s="1"/>
  <c r="Q12" i="4"/>
  <c r="C29" i="4"/>
  <c r="A29" i="4" s="1"/>
  <c r="Q10" i="4"/>
  <c r="Q9" i="4"/>
  <c r="C30" i="4"/>
  <c r="A30" i="4" s="1"/>
  <c r="C26" i="4"/>
  <c r="A26" i="4" s="1"/>
  <c r="Q11" i="4"/>
  <c r="C47" i="4"/>
  <c r="A47" i="4" s="1"/>
  <c r="C42" i="4"/>
  <c r="A42" i="4" s="1"/>
  <c r="C43" i="4"/>
  <c r="A43" i="4" s="1"/>
  <c r="C16" i="4"/>
  <c r="C44" i="4"/>
  <c r="A44" i="4" s="1"/>
  <c r="Q36" i="4"/>
  <c r="Q39" i="4"/>
  <c r="C18" i="4"/>
  <c r="A18" i="4" s="1"/>
  <c r="C21" i="4"/>
  <c r="A21" i="4" s="1"/>
  <c r="C17" i="4"/>
  <c r="A17" i="4" s="1"/>
  <c r="C19" i="4"/>
  <c r="A19" i="4" s="1"/>
  <c r="Q34" i="4"/>
  <c r="Q37" i="4"/>
  <c r="Q38" i="4"/>
  <c r="C54" i="4"/>
  <c r="A54" i="4" s="1"/>
  <c r="Q33" i="4"/>
  <c r="C55" i="4"/>
  <c r="A55" i="4" s="1"/>
  <c r="C56" i="4"/>
  <c r="A56" i="4" s="1"/>
  <c r="Q35" i="4"/>
  <c r="C57" i="4"/>
  <c r="A57" i="4" s="1"/>
  <c r="C52" i="4"/>
  <c r="A52" i="4" s="1"/>
  <c r="Q54" i="4"/>
  <c r="C51" i="4"/>
  <c r="M50" i="5" s="1"/>
  <c r="Q57" i="4"/>
  <c r="Q53" i="4"/>
  <c r="Q52" i="4"/>
  <c r="Q56" i="4"/>
  <c r="Q51" i="4"/>
  <c r="K8" i="5" l="1"/>
  <c r="I8" i="5"/>
  <c r="L8" i="5"/>
  <c r="E8" i="5"/>
  <c r="I4" i="5"/>
  <c r="H4" i="5"/>
  <c r="J8" i="5"/>
  <c r="A6" i="4"/>
  <c r="D108" i="4" s="1"/>
  <c r="F8" i="5"/>
  <c r="B4" i="5"/>
  <c r="I10" i="5"/>
  <c r="C4" i="5"/>
  <c r="J9" i="5"/>
  <c r="D9" i="5"/>
  <c r="F9" i="5"/>
  <c r="E5" i="5"/>
  <c r="G6" i="5"/>
  <c r="D6" i="5"/>
  <c r="D34" i="5"/>
  <c r="L9" i="5"/>
  <c r="H7" i="5"/>
  <c r="B9" i="5"/>
  <c r="K9" i="5"/>
  <c r="F4" i="5"/>
  <c r="M8" i="5"/>
  <c r="L4" i="5"/>
  <c r="M4" i="5"/>
  <c r="I7" i="5"/>
  <c r="J10" i="5"/>
  <c r="B8" i="5"/>
  <c r="M7" i="5"/>
  <c r="M6" i="5"/>
  <c r="E10" i="5"/>
  <c r="M10" i="5"/>
  <c r="G10" i="5"/>
  <c r="C5" i="5"/>
  <c r="C9" i="5"/>
  <c r="E9" i="5"/>
  <c r="I5" i="5"/>
  <c r="D4" i="5"/>
  <c r="I9" i="5"/>
  <c r="D5" i="5"/>
  <c r="J7" i="5"/>
  <c r="J6" i="5"/>
  <c r="K6" i="5"/>
  <c r="C8" i="5"/>
  <c r="K4" i="5"/>
  <c r="J4" i="5"/>
  <c r="M9" i="5"/>
  <c r="D8" i="5"/>
  <c r="G5" i="5"/>
  <c r="F10" i="5"/>
  <c r="G4" i="5"/>
  <c r="H8" i="5"/>
  <c r="G8" i="5"/>
  <c r="C6" i="5"/>
  <c r="H9" i="5"/>
  <c r="K7" i="5"/>
  <c r="H10" i="5"/>
  <c r="F6" i="5"/>
  <c r="E6" i="5"/>
  <c r="F5" i="5"/>
  <c r="F7" i="5"/>
  <c r="I6" i="5"/>
  <c r="H6" i="5"/>
  <c r="L7" i="5"/>
  <c r="D10" i="5"/>
  <c r="G9" i="5"/>
  <c r="M5" i="5"/>
  <c r="J5" i="5"/>
  <c r="B6" i="5"/>
  <c r="L10" i="5"/>
  <c r="J22" i="5"/>
  <c r="K5" i="5"/>
  <c r="E7" i="5"/>
  <c r="G7" i="5"/>
  <c r="C7" i="5"/>
  <c r="B5" i="5"/>
  <c r="H16" i="5"/>
  <c r="B22" i="5"/>
  <c r="I42" i="5"/>
  <c r="D22" i="5"/>
  <c r="B7" i="5"/>
  <c r="G37" i="5"/>
  <c r="B10" i="5"/>
  <c r="K10" i="5"/>
  <c r="D31" i="5"/>
  <c r="J15" i="5"/>
  <c r="F32" i="5"/>
  <c r="M32" i="5"/>
  <c r="I37" i="5"/>
  <c r="K36" i="5"/>
  <c r="G31" i="5"/>
  <c r="C31" i="5"/>
  <c r="F36" i="5"/>
  <c r="H37" i="5"/>
  <c r="I36" i="5"/>
  <c r="B32" i="5"/>
  <c r="E36" i="5"/>
  <c r="G36" i="5"/>
  <c r="I31" i="5"/>
  <c r="F31" i="5"/>
  <c r="F42" i="5"/>
  <c r="D33" i="5"/>
  <c r="M31" i="5"/>
  <c r="B37" i="5"/>
  <c r="B42" i="5"/>
  <c r="H36" i="5"/>
  <c r="D42" i="5"/>
  <c r="C26" i="5"/>
  <c r="D26" i="5"/>
  <c r="B23" i="5"/>
  <c r="C23" i="5"/>
  <c r="E33" i="5"/>
  <c r="L23" i="5"/>
  <c r="B36" i="5"/>
  <c r="E22" i="5"/>
  <c r="K23" i="5"/>
  <c r="K34" i="5"/>
  <c r="H32" i="5"/>
  <c r="J37" i="5"/>
  <c r="L37" i="5"/>
  <c r="C33" i="5"/>
  <c r="L34" i="5"/>
  <c r="C42" i="5"/>
  <c r="B31" i="5"/>
  <c r="L5" i="5"/>
  <c r="D7" i="5"/>
  <c r="I15" i="5"/>
  <c r="F26" i="5"/>
  <c r="M23" i="5"/>
  <c r="J33" i="5"/>
  <c r="M34" i="5"/>
  <c r="L33" i="5"/>
  <c r="I33" i="5"/>
  <c r="C36" i="5"/>
  <c r="D32" i="5"/>
  <c r="J42" i="5"/>
  <c r="L6" i="5"/>
  <c r="H5" i="5"/>
  <c r="C10" i="5"/>
  <c r="A16" i="4"/>
  <c r="L22" i="5"/>
  <c r="A24" i="4"/>
  <c r="G32" i="5"/>
  <c r="L32" i="5"/>
  <c r="K32" i="5"/>
  <c r="H31" i="5"/>
  <c r="J32" i="5"/>
  <c r="G34" i="5"/>
  <c r="L42" i="5"/>
  <c r="K26" i="5"/>
  <c r="K37" i="5"/>
  <c r="C32" i="5"/>
  <c r="H33" i="5"/>
  <c r="I34" i="5"/>
  <c r="F15" i="5"/>
  <c r="J16" i="5"/>
  <c r="M15" i="5"/>
  <c r="G15" i="5"/>
  <c r="K16" i="5"/>
  <c r="C24" i="5"/>
  <c r="K24" i="5"/>
  <c r="L16" i="5"/>
  <c r="C16" i="5"/>
  <c r="B15" i="5"/>
  <c r="G16" i="5"/>
  <c r="E15" i="5"/>
  <c r="I16" i="5"/>
  <c r="B24" i="5"/>
  <c r="L15" i="5"/>
  <c r="C15" i="5"/>
  <c r="L14" i="5"/>
  <c r="D16" i="5"/>
  <c r="F16" i="5"/>
  <c r="D15" i="5"/>
  <c r="E24" i="5"/>
  <c r="B16" i="5"/>
  <c r="E16" i="5"/>
  <c r="K15" i="5"/>
  <c r="K27" i="5"/>
  <c r="M35" i="5"/>
  <c r="E43" i="5"/>
  <c r="G14" i="5"/>
  <c r="D43" i="5"/>
  <c r="M18" i="5"/>
  <c r="M40" i="5"/>
  <c r="I41" i="5"/>
  <c r="D14" i="5"/>
  <c r="F14" i="5"/>
  <c r="B43" i="5"/>
  <c r="K14" i="5"/>
  <c r="D19" i="5"/>
  <c r="J24" i="5"/>
  <c r="M24" i="5"/>
  <c r="I26" i="5"/>
  <c r="I23" i="5"/>
  <c r="K44" i="5"/>
  <c r="I14" i="5"/>
  <c r="H26" i="5"/>
  <c r="L24" i="5"/>
  <c r="E27" i="5"/>
  <c r="F23" i="5"/>
  <c r="E23" i="5"/>
  <c r="M45" i="5"/>
  <c r="H40" i="5"/>
  <c r="C19" i="5"/>
  <c r="K13" i="5"/>
  <c r="H14" i="5"/>
  <c r="H24" i="5"/>
  <c r="D24" i="5"/>
  <c r="F28" i="5"/>
  <c r="D23" i="5"/>
  <c r="J23" i="5"/>
  <c r="F35" i="5"/>
  <c r="I35" i="5"/>
  <c r="E35" i="5"/>
  <c r="J46" i="5"/>
  <c r="L17" i="5"/>
  <c r="J14" i="5"/>
  <c r="E14" i="5"/>
  <c r="B26" i="5"/>
  <c r="F24" i="5"/>
  <c r="J26" i="5"/>
  <c r="G23" i="5"/>
  <c r="L35" i="5"/>
  <c r="B46" i="5"/>
  <c r="K40" i="5"/>
  <c r="J41" i="5"/>
  <c r="J43" i="5"/>
  <c r="E37" i="5"/>
  <c r="C14" i="5"/>
  <c r="J28" i="5"/>
  <c r="G24" i="5"/>
  <c r="B27" i="5"/>
  <c r="I24" i="5"/>
  <c r="H23" i="5"/>
  <c r="J35" i="5"/>
  <c r="J40" i="5"/>
  <c r="F41" i="5"/>
  <c r="M16" i="5"/>
  <c r="H15" i="5"/>
  <c r="J13" i="5"/>
  <c r="B14" i="5"/>
  <c r="M14" i="5"/>
  <c r="H22" i="5"/>
  <c r="E26" i="5"/>
  <c r="I22" i="5"/>
  <c r="K31" i="5"/>
  <c r="C35" i="5"/>
  <c r="D36" i="5"/>
  <c r="K33" i="5"/>
  <c r="J31" i="5"/>
  <c r="M33" i="5"/>
  <c r="L31" i="5"/>
  <c r="L36" i="5"/>
  <c r="F34" i="5"/>
  <c r="F33" i="5"/>
  <c r="M42" i="5"/>
  <c r="L46" i="5"/>
  <c r="F40" i="5"/>
  <c r="F43" i="5"/>
  <c r="B44" i="5"/>
  <c r="G19" i="5"/>
  <c r="J18" i="5"/>
  <c r="M26" i="5"/>
  <c r="F22" i="5"/>
  <c r="C22" i="5"/>
  <c r="K22" i="5"/>
  <c r="G35" i="5"/>
  <c r="C34" i="5"/>
  <c r="B34" i="5"/>
  <c r="E32" i="5"/>
  <c r="A33" i="4"/>
  <c r="D35" i="5"/>
  <c r="D37" i="5"/>
  <c r="J34" i="5"/>
  <c r="G33" i="5"/>
  <c r="H34" i="5"/>
  <c r="K42" i="5"/>
  <c r="J44" i="5"/>
  <c r="H42" i="5"/>
  <c r="D44" i="5"/>
  <c r="L43" i="5"/>
  <c r="C18" i="5"/>
  <c r="G27" i="5"/>
  <c r="M22" i="5"/>
  <c r="G26" i="5"/>
  <c r="L26" i="5"/>
  <c r="J36" i="5"/>
  <c r="H35" i="5"/>
  <c r="E31" i="5"/>
  <c r="M37" i="5"/>
  <c r="B35" i="5"/>
  <c r="I32" i="5"/>
  <c r="M36" i="5"/>
  <c r="C37" i="5"/>
  <c r="K35" i="5"/>
  <c r="F37" i="5"/>
  <c r="E42" i="5"/>
  <c r="L44" i="5"/>
  <c r="H44" i="5"/>
  <c r="I19" i="5"/>
  <c r="D17" i="5"/>
  <c r="D18" i="5"/>
  <c r="K17" i="5"/>
  <c r="I18" i="5"/>
  <c r="B19" i="5"/>
  <c r="F18" i="5"/>
  <c r="E25" i="5"/>
  <c r="C27" i="5"/>
  <c r="D27" i="5"/>
  <c r="B41" i="5"/>
  <c r="G40" i="5"/>
  <c r="F45" i="5"/>
  <c r="C41" i="5"/>
  <c r="B17" i="5"/>
  <c r="E13" i="5"/>
  <c r="F13" i="5"/>
  <c r="G13" i="5"/>
  <c r="F25" i="5"/>
  <c r="H28" i="5"/>
  <c r="M25" i="5"/>
  <c r="M28" i="5"/>
  <c r="M55" i="5"/>
  <c r="H19" i="5"/>
  <c r="H17" i="5"/>
  <c r="K19" i="5"/>
  <c r="C17" i="5"/>
  <c r="D13" i="5"/>
  <c r="E19" i="5"/>
  <c r="B18" i="5"/>
  <c r="L25" i="5"/>
  <c r="H27" i="5"/>
  <c r="F27" i="5"/>
  <c r="H25" i="5"/>
  <c r="K28" i="5"/>
  <c r="G46" i="5"/>
  <c r="I46" i="5"/>
  <c r="E41" i="5"/>
  <c r="C43" i="5"/>
  <c r="C50" i="5"/>
  <c r="B33" i="5"/>
  <c r="F19" i="5"/>
  <c r="H18" i="5"/>
  <c r="G18" i="5"/>
  <c r="E17" i="5"/>
  <c r="B13" i="5"/>
  <c r="M19" i="5"/>
  <c r="F17" i="5"/>
  <c r="B28" i="5"/>
  <c r="I27" i="5"/>
  <c r="G25" i="5"/>
  <c r="J25" i="5"/>
  <c r="M44" i="5"/>
  <c r="K43" i="5"/>
  <c r="G44" i="5"/>
  <c r="F46" i="5"/>
  <c r="F50" i="5"/>
  <c r="G17" i="5"/>
  <c r="L13" i="5"/>
  <c r="K18" i="5"/>
  <c r="L27" i="5"/>
  <c r="G28" i="5"/>
  <c r="C28" i="5"/>
  <c r="L45" i="5"/>
  <c r="I13" i="5"/>
  <c r="J19" i="5"/>
  <c r="D25" i="5"/>
  <c r="K25" i="5"/>
  <c r="L28" i="5"/>
  <c r="E28" i="5"/>
  <c r="C45" i="5"/>
  <c r="L18" i="5"/>
  <c r="E18" i="5"/>
  <c r="I17" i="5"/>
  <c r="J17" i="5"/>
  <c r="L19" i="5"/>
  <c r="M17" i="5"/>
  <c r="M13" i="5"/>
  <c r="C13" i="5"/>
  <c r="H13" i="5"/>
  <c r="D28" i="5"/>
  <c r="B25" i="5"/>
  <c r="C25" i="5"/>
  <c r="I25" i="5"/>
  <c r="M27" i="5"/>
  <c r="I28" i="5"/>
  <c r="J27" i="5"/>
  <c r="I55" i="5"/>
  <c r="H41" i="5"/>
  <c r="L41" i="5"/>
  <c r="M53" i="5"/>
  <c r="E55" i="5"/>
  <c r="L51" i="5"/>
  <c r="G45" i="5"/>
  <c r="J45" i="5"/>
  <c r="I45" i="5"/>
  <c r="I43" i="5"/>
  <c r="K45" i="5"/>
  <c r="K54" i="5"/>
  <c r="B51" i="5"/>
  <c r="G51" i="5"/>
  <c r="H45" i="5"/>
  <c r="D41" i="5"/>
  <c r="D45" i="5"/>
  <c r="K55" i="5"/>
  <c r="L54" i="5"/>
  <c r="B50" i="5"/>
  <c r="D46" i="5"/>
  <c r="J51" i="5"/>
  <c r="J54" i="5"/>
  <c r="B45" i="5"/>
  <c r="G41" i="5"/>
  <c r="E46" i="5"/>
  <c r="B40" i="5"/>
  <c r="C44" i="5"/>
  <c r="F54" i="5"/>
  <c r="I53" i="5"/>
  <c r="I54" i="5"/>
  <c r="I51" i="5"/>
  <c r="H55" i="5"/>
  <c r="K50" i="5"/>
  <c r="I40" i="5"/>
  <c r="H43" i="5"/>
  <c r="G42" i="5"/>
  <c r="E40" i="5"/>
  <c r="E44" i="5"/>
  <c r="M43" i="5"/>
  <c r="F44" i="5"/>
  <c r="I44" i="5"/>
  <c r="E45" i="5"/>
  <c r="M41" i="5"/>
  <c r="C53" i="5"/>
  <c r="G54" i="5"/>
  <c r="D50" i="5"/>
  <c r="L55" i="5"/>
  <c r="H46" i="5"/>
  <c r="K41" i="5"/>
  <c r="C40" i="5"/>
  <c r="K46" i="5"/>
  <c r="G43" i="5"/>
  <c r="C46" i="5"/>
  <c r="D40" i="5"/>
  <c r="L40" i="5"/>
  <c r="M46" i="5"/>
  <c r="L50" i="5"/>
  <c r="K53" i="5"/>
  <c r="E51" i="5"/>
  <c r="C55" i="5"/>
  <c r="E54" i="5"/>
  <c r="G55" i="5"/>
  <c r="J55" i="5"/>
  <c r="B54" i="5"/>
  <c r="J50" i="5"/>
  <c r="E50" i="5"/>
  <c r="F51" i="5"/>
  <c r="D55" i="5"/>
  <c r="B55" i="5"/>
  <c r="G50" i="5"/>
  <c r="I50" i="5"/>
  <c r="H53" i="5"/>
  <c r="H50" i="5"/>
  <c r="F55" i="5"/>
  <c r="M51" i="5"/>
  <c r="A51" i="4"/>
  <c r="D51" i="5"/>
  <c r="F53" i="5"/>
  <c r="H51" i="5"/>
  <c r="E49" i="5"/>
  <c r="C51" i="5"/>
  <c r="J49" i="5"/>
  <c r="D53" i="5"/>
  <c r="K51" i="5"/>
  <c r="B53" i="5"/>
  <c r="G49" i="5"/>
  <c r="I52" i="5"/>
  <c r="E52" i="5"/>
  <c r="D52" i="5"/>
  <c r="F52" i="5"/>
  <c r="D49" i="5"/>
  <c r="J53" i="5"/>
  <c r="J52" i="5"/>
  <c r="M52" i="5"/>
  <c r="L49" i="5"/>
  <c r="L53" i="5"/>
  <c r="H52" i="5"/>
  <c r="F49" i="5"/>
  <c r="C52" i="5"/>
  <c r="E53" i="5"/>
  <c r="C49" i="5"/>
  <c r="M49" i="5"/>
  <c r="C54" i="5"/>
  <c r="H49" i="5"/>
  <c r="K52" i="5"/>
  <c r="G53" i="5"/>
  <c r="H54" i="5"/>
  <c r="I49" i="5"/>
  <c r="B49" i="5"/>
  <c r="M54" i="5"/>
  <c r="D54" i="5"/>
  <c r="K49" i="5"/>
  <c r="L52" i="5"/>
  <c r="B52" i="5"/>
  <c r="G52" i="5"/>
  <c r="E60" i="4" l="1"/>
  <c r="D75" i="4"/>
  <c r="D87" i="4"/>
  <c r="D81" i="4"/>
  <c r="D93" i="4"/>
  <c r="D69" i="4"/>
  <c r="D60" i="4"/>
  <c r="D88" i="4"/>
  <c r="D70" i="4"/>
  <c r="D94" i="4"/>
  <c r="D89" i="4"/>
  <c r="D109" i="4"/>
  <c r="D79" i="4"/>
  <c r="D110" i="4"/>
  <c r="D83" i="4"/>
  <c r="D84" i="4"/>
  <c r="D111" i="4"/>
  <c r="D61" i="4"/>
  <c r="D90" i="4"/>
  <c r="D82" i="4"/>
  <c r="E63" i="4"/>
  <c r="D77" i="4"/>
  <c r="E61" i="4"/>
  <c r="E62" i="4"/>
  <c r="D92" i="4"/>
  <c r="D63" i="4"/>
  <c r="D76" i="4"/>
  <c r="D73" i="4"/>
  <c r="D62" i="4"/>
  <c r="D95" i="4"/>
  <c r="D71" i="4"/>
  <c r="D64" i="4"/>
  <c r="D96" i="4"/>
  <c r="D80" i="4"/>
  <c r="D78" i="4"/>
  <c r="D86" i="4"/>
  <c r="D112" i="4"/>
  <c r="E64" i="4"/>
  <c r="D91" i="4"/>
  <c r="D72" i="4"/>
  <c r="D97" i="4"/>
  <c r="D85" i="4"/>
  <c r="D65" i="4"/>
  <c r="D98" i="4"/>
  <c r="D113" i="4"/>
  <c r="D74" i="4"/>
  <c r="E65" i="4"/>
  <c r="C64" i="4" l="1"/>
  <c r="A64" i="4" s="1"/>
  <c r="C60" i="4"/>
  <c r="A60" i="4" s="1"/>
  <c r="C61" i="4"/>
  <c r="A61" i="4" s="1"/>
  <c r="C63" i="4"/>
  <c r="A63" i="4" s="1"/>
  <c r="C65" i="4"/>
  <c r="A65" i="4" s="1"/>
  <c r="C62" i="4"/>
  <c r="A62" i="4" s="1"/>
  <c r="Y25" i="4"/>
  <c r="Y56" i="4"/>
  <c r="X27" i="4"/>
  <c r="Y11" i="4"/>
  <c r="X11" i="4"/>
  <c r="Y12" i="4"/>
  <c r="X12" i="4"/>
  <c r="Y10" i="4"/>
  <c r="X10" i="4"/>
  <c r="Y16" i="4"/>
  <c r="X16" i="4"/>
  <c r="Y24" i="4"/>
  <c r="X24" i="4"/>
  <c r="Y19" i="4"/>
  <c r="X19" i="4"/>
  <c r="Y33" i="4"/>
  <c r="X33" i="4"/>
  <c r="X21" i="4"/>
  <c r="Y21" i="4"/>
  <c r="X9" i="4"/>
  <c r="Y9" i="4"/>
  <c r="Y7" i="4"/>
  <c r="X7" i="4"/>
  <c r="Y15" i="4"/>
  <c r="X15" i="4"/>
  <c r="Y30" i="4"/>
  <c r="X30" i="4"/>
  <c r="Y8" i="4"/>
  <c r="X8" i="4"/>
  <c r="Y6" i="4"/>
  <c r="X6" i="4"/>
  <c r="Y17" i="4"/>
  <c r="X17" i="4"/>
  <c r="X47" i="4"/>
  <c r="Y47" i="4"/>
  <c r="Y55" i="4"/>
  <c r="X55" i="4"/>
  <c r="Y35" i="4"/>
  <c r="Y29" i="4"/>
  <c r="Y37" i="4"/>
  <c r="Y51" i="4"/>
  <c r="Y39" i="4"/>
  <c r="Y53" i="4"/>
  <c r="X53" i="4"/>
  <c r="Y38" i="4"/>
  <c r="Y43" i="4"/>
  <c r="Y46" i="4"/>
  <c r="Y26" i="4"/>
  <c r="X39" i="4"/>
  <c r="Y52" i="4"/>
  <c r="Y48" i="4"/>
  <c r="Y36" i="4"/>
  <c r="Y57" i="4"/>
  <c r="Y45" i="4"/>
  <c r="X56" i="4"/>
  <c r="X48" i="4"/>
  <c r="X51" i="4"/>
  <c r="X43" i="4"/>
  <c r="X37" i="4"/>
  <c r="X29" i="4"/>
  <c r="X35" i="4"/>
  <c r="X45" i="4"/>
  <c r="X57" i="4"/>
  <c r="B104" i="4" l="1"/>
  <c r="D104" i="4" s="1"/>
  <c r="B99" i="4"/>
  <c r="D99" i="4" s="1"/>
  <c r="B105" i="4"/>
  <c r="D105" i="4" s="1"/>
  <c r="B106" i="4"/>
  <c r="D106" i="4" s="1"/>
  <c r="B107" i="4"/>
  <c r="D107" i="4" s="1"/>
  <c r="B100" i="4"/>
  <c r="D100" i="4" s="1"/>
  <c r="Z56" i="4"/>
  <c r="AA56" i="4" s="1"/>
  <c r="Z39" i="4"/>
  <c r="AA39" i="4" s="1"/>
  <c r="Z7" i="4"/>
  <c r="AA7" i="4" s="1"/>
  <c r="Z35" i="4"/>
  <c r="AA35" i="4" s="1"/>
  <c r="Z43" i="4"/>
  <c r="AA43" i="4" s="1"/>
  <c r="Z57" i="4"/>
  <c r="AA57" i="4" s="1"/>
  <c r="Z24" i="4"/>
  <c r="AA24" i="4" s="1"/>
  <c r="Z10" i="4"/>
  <c r="AA10" i="4" s="1"/>
  <c r="Z21" i="4"/>
  <c r="AA21" i="4" s="1"/>
  <c r="Z6" i="4"/>
  <c r="AA6" i="4" s="1"/>
  <c r="E69" i="4" s="1"/>
  <c r="Z19" i="4"/>
  <c r="AA19" i="4" s="1"/>
  <c r="Z47" i="4"/>
  <c r="AA47" i="4" s="1"/>
  <c r="Z29" i="4"/>
  <c r="AA29" i="4" s="1"/>
  <c r="Z53" i="4"/>
  <c r="AA53" i="4" s="1"/>
  <c r="Z51" i="4"/>
  <c r="AA51" i="4" s="1"/>
  <c r="Z48" i="4"/>
  <c r="AA48" i="4" s="1"/>
  <c r="Z55" i="4"/>
  <c r="AA55" i="4" s="1"/>
  <c r="Z30" i="4"/>
  <c r="AA30" i="4" s="1"/>
  <c r="Y27" i="4"/>
  <c r="Z27" i="4" s="1"/>
  <c r="AA27" i="4" s="1"/>
  <c r="Z15" i="4"/>
  <c r="AA15" i="4" s="1"/>
  <c r="Z16" i="4"/>
  <c r="AA16" i="4" s="1"/>
  <c r="Z17" i="4"/>
  <c r="AA17" i="4" s="1"/>
  <c r="Z37" i="4"/>
  <c r="AA37" i="4" s="1"/>
  <c r="Z45" i="4"/>
  <c r="AA45" i="4" s="1"/>
  <c r="Z33" i="4"/>
  <c r="AA33" i="4" s="1"/>
  <c r="Z12" i="4"/>
  <c r="AA12" i="4" s="1"/>
  <c r="Z8" i="4"/>
  <c r="AA8" i="4" s="1"/>
  <c r="Z11" i="4"/>
  <c r="AA11" i="4" s="1"/>
  <c r="Z9" i="4"/>
  <c r="AA9" i="4" s="1"/>
  <c r="X34" i="4"/>
  <c r="Y34" i="4"/>
  <c r="X44" i="4"/>
  <c r="Y44" i="4"/>
  <c r="X54" i="4"/>
  <c r="Y54" i="4"/>
  <c r="X20" i="4"/>
  <c r="Y20" i="4"/>
  <c r="X18" i="4"/>
  <c r="Y18" i="4"/>
  <c r="X42" i="4"/>
  <c r="Y42" i="4"/>
  <c r="X28" i="4"/>
  <c r="Y28" i="4"/>
  <c r="E74" i="4" l="1"/>
  <c r="E111" i="4"/>
  <c r="E82" i="4"/>
  <c r="E70" i="4"/>
  <c r="E81" i="4"/>
  <c r="E76" i="4"/>
  <c r="E108" i="4"/>
  <c r="E87" i="4"/>
  <c r="E93" i="4"/>
  <c r="E75" i="4"/>
  <c r="Z20" i="4"/>
  <c r="AA20" i="4" s="1"/>
  <c r="Z54" i="4"/>
  <c r="AA54" i="4" s="1"/>
  <c r="Z42" i="4"/>
  <c r="AA42" i="4" s="1"/>
  <c r="Z44" i="4"/>
  <c r="AA44" i="4" s="1"/>
  <c r="X25" i="4"/>
  <c r="Z25" i="4" s="1"/>
  <c r="AA25" i="4" s="1"/>
  <c r="X52" i="4"/>
  <c r="Z52" i="4" s="1"/>
  <c r="AA52" i="4" s="1"/>
  <c r="X38" i="4"/>
  <c r="Z38" i="4" s="1"/>
  <c r="AA38" i="4" s="1"/>
  <c r="Z34" i="4"/>
  <c r="AA34" i="4" s="1"/>
  <c r="Z18" i="4"/>
  <c r="AA18" i="4" s="1"/>
  <c r="E88" i="4" s="1"/>
  <c r="X36" i="4"/>
  <c r="Z36" i="4" s="1"/>
  <c r="AA36" i="4" s="1"/>
  <c r="X26" i="4"/>
  <c r="Z26" i="4" s="1"/>
  <c r="AA26" i="4" s="1"/>
  <c r="X46" i="4"/>
  <c r="Z46" i="4" s="1"/>
  <c r="AA46" i="4" s="1"/>
  <c r="E97" i="4" s="1"/>
  <c r="Z28" i="4"/>
  <c r="AA28" i="4" s="1"/>
  <c r="E91" i="4" l="1"/>
  <c r="E100" i="4"/>
  <c r="E105" i="4"/>
  <c r="E92" i="4"/>
  <c r="E98" i="4"/>
  <c r="E113" i="4"/>
  <c r="E109" i="4"/>
  <c r="E80" i="4"/>
  <c r="E90" i="4"/>
  <c r="E89" i="4"/>
  <c r="E106" i="4"/>
  <c r="E104" i="4"/>
  <c r="E112" i="4"/>
  <c r="E86" i="4"/>
  <c r="E84" i="4"/>
  <c r="E72" i="4"/>
  <c r="E77" i="4"/>
  <c r="E95" i="4"/>
  <c r="E107" i="4"/>
  <c r="E83" i="4"/>
  <c r="E71" i="4"/>
  <c r="E73" i="4"/>
  <c r="E96" i="4"/>
  <c r="E99" i="4"/>
  <c r="E79" i="4"/>
  <c r="E85" i="4"/>
  <c r="E78" i="4"/>
  <c r="E110" i="4"/>
  <c r="E94" i="4"/>
  <c r="C105" i="4" l="1"/>
  <c r="C112" i="4"/>
  <c r="C104" i="4"/>
  <c r="C107" i="4"/>
  <c r="C106" i="4"/>
  <c r="C113" i="4"/>
  <c r="C110" i="4"/>
  <c r="C109" i="4"/>
  <c r="C108" i="4"/>
  <c r="C111" i="4"/>
  <c r="C100" i="4"/>
  <c r="C75" i="4"/>
  <c r="C84" i="4"/>
  <c r="C82" i="4"/>
  <c r="C96" i="4"/>
  <c r="C72" i="4"/>
  <c r="C92" i="4"/>
  <c r="C89" i="4"/>
  <c r="C85" i="4"/>
  <c r="C76" i="4"/>
  <c r="C91" i="4"/>
  <c r="C88" i="4"/>
  <c r="C77" i="4"/>
  <c r="C83" i="4"/>
  <c r="C87" i="4"/>
  <c r="C78" i="4"/>
  <c r="C99" i="4"/>
  <c r="C70" i="4"/>
  <c r="C69" i="4"/>
  <c r="C71" i="4"/>
  <c r="C93" i="4"/>
  <c r="C95" i="4"/>
  <c r="C73" i="4"/>
  <c r="C98" i="4"/>
  <c r="C97" i="4"/>
  <c r="C86" i="4"/>
  <c r="C80" i="4"/>
  <c r="C94" i="4"/>
  <c r="C81" i="4"/>
  <c r="C90" i="4"/>
  <c r="C79" i="4"/>
  <c r="C74" i="4"/>
  <c r="F14" i="6" l="1"/>
  <c r="B8" i="6"/>
  <c r="B7" i="6"/>
  <c r="F19" i="6"/>
  <c r="F12" i="6"/>
  <c r="F13" i="6"/>
  <c r="F15" i="6"/>
  <c r="F20" i="6"/>
  <c r="B6" i="6"/>
  <c r="B11" i="6"/>
  <c r="F6" i="6"/>
  <c r="F7" i="6"/>
  <c r="B15" i="6"/>
  <c r="B18" i="6"/>
  <c r="B17" i="6"/>
  <c r="B14" i="6"/>
  <c r="F17" i="6"/>
  <c r="F11" i="6"/>
  <c r="F5" i="6"/>
  <c r="B9" i="6"/>
  <c r="B16" i="6"/>
  <c r="F8" i="6"/>
  <c r="F9" i="6"/>
  <c r="B19" i="6"/>
  <c r="F10" i="6"/>
  <c r="B5" i="6"/>
  <c r="F18" i="6"/>
  <c r="F16" i="6"/>
  <c r="B10" i="6"/>
  <c r="B12" i="6"/>
  <c r="B13" i="6"/>
  <c r="B20" i="6"/>
  <c r="C43" i="7"/>
  <c r="C36" i="7"/>
  <c r="C44" i="7"/>
  <c r="C37" i="7"/>
  <c r="C39" i="7"/>
  <c r="C40" i="7"/>
  <c r="C45" i="7"/>
  <c r="C41" i="7"/>
  <c r="C38" i="7"/>
  <c r="C42" i="7"/>
  <c r="R20" i="6" l="1"/>
  <c r="S20" i="6" s="1"/>
  <c r="AA20" i="6"/>
  <c r="Z20" i="6"/>
  <c r="N20" i="6"/>
  <c r="O20" i="6" s="1"/>
  <c r="W20" i="6"/>
  <c r="AC20" i="6"/>
  <c r="U20" i="6"/>
  <c r="Z7" i="6"/>
  <c r="R7" i="6"/>
  <c r="S7" i="6" s="1"/>
  <c r="AC7" i="6"/>
  <c r="U7" i="6"/>
  <c r="N7" i="6"/>
  <c r="O7" i="6" s="1"/>
  <c r="W7" i="6"/>
  <c r="AA7" i="6"/>
  <c r="AC5" i="6"/>
  <c r="U5" i="6"/>
  <c r="Z5" i="6"/>
  <c r="R5" i="6"/>
  <c r="S5" i="6" s="1"/>
  <c r="AA5" i="6"/>
  <c r="W5" i="6"/>
  <c r="N5" i="6"/>
  <c r="O5" i="6" s="1"/>
  <c r="N14" i="6"/>
  <c r="O14" i="6" s="1"/>
  <c r="W14" i="6"/>
  <c r="AA14" i="6"/>
  <c r="AC14" i="6"/>
  <c r="U14" i="6"/>
  <c r="R14" i="6"/>
  <c r="S14" i="6" s="1"/>
  <c r="Z14" i="6"/>
  <c r="AC8" i="6"/>
  <c r="U8" i="6"/>
  <c r="Z8" i="6"/>
  <c r="R8" i="6"/>
  <c r="S8" i="6" s="1"/>
  <c r="W8" i="6"/>
  <c r="AA8" i="6"/>
  <c r="N8" i="6"/>
  <c r="O8" i="6" s="1"/>
  <c r="W19" i="6"/>
  <c r="AA19" i="6"/>
  <c r="N19" i="6"/>
  <c r="O19" i="6" s="1"/>
  <c r="AC19" i="6"/>
  <c r="U19" i="6"/>
  <c r="Z19" i="6"/>
  <c r="R19" i="6"/>
  <c r="S19" i="6" s="1"/>
  <c r="AA10" i="6"/>
  <c r="N10" i="6"/>
  <c r="O10" i="6" s="1"/>
  <c r="W10" i="6"/>
  <c r="R10" i="6"/>
  <c r="S10" i="6" s="1"/>
  <c r="U10" i="6"/>
  <c r="Z10" i="6"/>
  <c r="AC10" i="6"/>
  <c r="R6" i="6"/>
  <c r="S6" i="6" s="1"/>
  <c r="Y6" i="6"/>
  <c r="AC6" i="6"/>
  <c r="U6" i="6"/>
  <c r="AA6" i="6"/>
  <c r="N6" i="6"/>
  <c r="O6" i="6" s="1"/>
  <c r="X6" i="6"/>
  <c r="Z9" i="6"/>
  <c r="R9" i="6"/>
  <c r="S9" i="6" s="1"/>
  <c r="AC9" i="6"/>
  <c r="U9" i="6"/>
  <c r="N9" i="6"/>
  <c r="O9" i="6" s="1"/>
  <c r="W9" i="6"/>
  <c r="AA9" i="6"/>
  <c r="W13" i="6"/>
  <c r="AA13" i="6"/>
  <c r="N13" i="6"/>
  <c r="O13" i="6" s="1"/>
  <c r="AC13" i="6"/>
  <c r="U13" i="6"/>
  <c r="Z13" i="6"/>
  <c r="R13" i="6"/>
  <c r="S13" i="6" s="1"/>
  <c r="AA18" i="6"/>
  <c r="N18" i="6"/>
  <c r="O18" i="6" s="1"/>
  <c r="W18" i="6"/>
  <c r="U18" i="6"/>
  <c r="Z18" i="6"/>
  <c r="R18" i="6"/>
  <c r="S18" i="6" s="1"/>
  <c r="AC18" i="6"/>
  <c r="U15" i="6"/>
  <c r="AC15" i="6"/>
  <c r="N15" i="6"/>
  <c r="O15" i="6" s="1"/>
  <c r="W15" i="6"/>
  <c r="AA15" i="6"/>
  <c r="Z15" i="6"/>
  <c r="R15" i="6"/>
  <c r="S15" i="6" s="1"/>
  <c r="N16" i="6"/>
  <c r="O16" i="6" s="1"/>
  <c r="X16" i="6"/>
  <c r="AA16" i="6"/>
  <c r="AC16" i="6"/>
  <c r="U16" i="6"/>
  <c r="R16" i="6"/>
  <c r="S16" i="6" s="1"/>
  <c r="Y16" i="6"/>
  <c r="U11" i="6"/>
  <c r="AC11" i="6"/>
  <c r="Z11" i="6"/>
  <c r="R11" i="6"/>
  <c r="S11" i="6" s="1"/>
  <c r="AA11" i="6"/>
  <c r="N11" i="6"/>
  <c r="O11" i="6" s="1"/>
  <c r="W11" i="6"/>
  <c r="AC12" i="6"/>
  <c r="U12" i="6"/>
  <c r="R12" i="6"/>
  <c r="S12" i="6" s="1"/>
  <c r="Z12" i="6"/>
  <c r="N12" i="6"/>
  <c r="O12" i="6" s="1"/>
  <c r="W12" i="6"/>
  <c r="AA12" i="6"/>
  <c r="N17" i="6"/>
  <c r="O17" i="6" s="1"/>
  <c r="X17" i="6"/>
  <c r="AA17" i="6"/>
  <c r="R17" i="6"/>
  <c r="S17" i="6" s="1"/>
  <c r="Y17" i="6"/>
  <c r="AC17" i="6"/>
  <c r="U17" i="6"/>
  <c r="M20" i="6" l="1"/>
  <c r="Q20" i="6"/>
  <c r="M7" i="6"/>
  <c r="Q7" i="6"/>
  <c r="M5" i="6"/>
  <c r="Q5" i="6"/>
  <c r="Q14" i="6"/>
  <c r="M14" i="6"/>
  <c r="M8" i="6"/>
  <c r="Q8" i="6"/>
  <c r="Q19" i="6"/>
  <c r="M19" i="6"/>
  <c r="Q10" i="6"/>
  <c r="M10" i="6"/>
  <c r="M6" i="6"/>
  <c r="Q6" i="6"/>
  <c r="M9" i="6"/>
  <c r="Q9" i="6"/>
  <c r="Q13" i="6"/>
  <c r="M13" i="6"/>
  <c r="Q18" i="6"/>
  <c r="M18" i="6"/>
  <c r="Q15" i="6"/>
  <c r="M15" i="6"/>
  <c r="Q17" i="6"/>
  <c r="Q16" i="6"/>
  <c r="M16" i="6"/>
  <c r="M11" i="6"/>
  <c r="M12" i="6"/>
  <c r="Q11" i="6"/>
  <c r="M17" i="6"/>
  <c r="Q12" i="6"/>
  <c r="F30" i="6" l="1"/>
  <c r="F29" i="6"/>
  <c r="F28" i="6"/>
  <c r="F27" i="6"/>
  <c r="F26" i="6"/>
  <c r="F25" i="6"/>
  <c r="F24" i="6"/>
  <c r="F23" i="6"/>
  <c r="B29" i="6"/>
  <c r="R29" i="6" s="1"/>
  <c r="S29" i="6" s="1"/>
  <c r="B30" i="6"/>
  <c r="B28" i="6"/>
  <c r="B27" i="6"/>
  <c r="B25" i="6"/>
  <c r="R25" i="6" s="1"/>
  <c r="S25" i="6" s="1"/>
  <c r="B26" i="6"/>
  <c r="B24" i="6"/>
  <c r="C22" i="7"/>
  <c r="C24" i="7"/>
  <c r="C21" i="7"/>
  <c r="C29" i="7"/>
  <c r="C28" i="7"/>
  <c r="C31" i="7"/>
  <c r="C35" i="7"/>
  <c r="C20" i="7"/>
  <c r="C25" i="7"/>
  <c r="C26" i="7"/>
  <c r="C33" i="7"/>
  <c r="C30" i="7"/>
  <c r="C34" i="7"/>
  <c r="C32" i="7"/>
  <c r="C27" i="7"/>
  <c r="C23" i="7"/>
  <c r="B23" i="6"/>
  <c r="Y30" i="6" l="1"/>
  <c r="AC30" i="6"/>
  <c r="R30" i="6"/>
  <c r="S30" i="6" s="1"/>
  <c r="U30" i="6"/>
  <c r="W29" i="6"/>
  <c r="AC29" i="6"/>
  <c r="N29" i="6"/>
  <c r="O29" i="6" s="1"/>
  <c r="U29" i="6"/>
  <c r="AC28" i="6"/>
  <c r="W28" i="6"/>
  <c r="N28" i="6"/>
  <c r="O28" i="6" s="1"/>
  <c r="U28" i="6"/>
  <c r="W27" i="6"/>
  <c r="AC27" i="6"/>
  <c r="N27" i="6"/>
  <c r="O27" i="6" s="1"/>
  <c r="U27" i="6"/>
  <c r="R26" i="6"/>
  <c r="S26" i="6" s="1"/>
  <c r="U26" i="6"/>
  <c r="AC26" i="6"/>
  <c r="Y26" i="6"/>
  <c r="AC25" i="6"/>
  <c r="U25" i="6"/>
  <c r="N25" i="6"/>
  <c r="O25" i="6" s="1"/>
  <c r="W25" i="6"/>
  <c r="AC24" i="6"/>
  <c r="R24" i="6"/>
  <c r="S24" i="6" s="1"/>
  <c r="U24" i="6"/>
  <c r="Z24" i="6"/>
  <c r="Z29" i="6"/>
  <c r="AA29" i="6"/>
  <c r="AA25" i="6"/>
  <c r="X30" i="6"/>
  <c r="AA30" i="6"/>
  <c r="N30" i="6"/>
  <c r="O30" i="6" s="1"/>
  <c r="Z25" i="6"/>
  <c r="Z28" i="6"/>
  <c r="R28" i="6"/>
  <c r="S28" i="6" s="1"/>
  <c r="AA28" i="6"/>
  <c r="R27" i="6"/>
  <c r="S27" i="6" s="1"/>
  <c r="AA27" i="6"/>
  <c r="Z27" i="6"/>
  <c r="N26" i="6"/>
  <c r="O26" i="6" s="1"/>
  <c r="X26" i="6"/>
  <c r="AA26" i="6"/>
  <c r="N24" i="6"/>
  <c r="O24" i="6" s="1"/>
  <c r="W24" i="6"/>
  <c r="AA24" i="6"/>
  <c r="AA23" i="6"/>
  <c r="N23" i="6"/>
  <c r="O23" i="6" s="1"/>
  <c r="X23" i="6"/>
  <c r="M24" i="6" l="1"/>
  <c r="M27" i="6"/>
  <c r="M30" i="6"/>
  <c r="M25" i="6"/>
  <c r="M29" i="6"/>
  <c r="M23" i="6"/>
  <c r="M28" i="6"/>
  <c r="M26" i="6"/>
  <c r="Y23" i="6" l="1"/>
  <c r="AC23" i="6"/>
  <c r="R23" i="6"/>
  <c r="S23" i="6" s="1"/>
  <c r="U23" i="6"/>
  <c r="F36" i="6"/>
  <c r="B36" i="6"/>
  <c r="B35" i="6"/>
  <c r="F35" i="6"/>
  <c r="B34" i="6"/>
  <c r="F34" i="6"/>
  <c r="B33" i="6"/>
  <c r="F33" i="6"/>
  <c r="Q24" i="6" l="1"/>
  <c r="Q29" i="6"/>
  <c r="Q26" i="6"/>
  <c r="Q28" i="6"/>
  <c r="Q30" i="6"/>
  <c r="Q27" i="6"/>
  <c r="Q23" i="6"/>
  <c r="Q25" i="6"/>
  <c r="N35" i="6"/>
  <c r="O35" i="6" s="1"/>
  <c r="W35" i="6"/>
  <c r="AC35" i="6"/>
  <c r="U35" i="6"/>
  <c r="Z35" i="6"/>
  <c r="R35" i="6"/>
  <c r="S35" i="6" s="1"/>
  <c r="AA35" i="6"/>
  <c r="AA36" i="6"/>
  <c r="W36" i="6"/>
  <c r="N36" i="6"/>
  <c r="O36" i="6" s="1"/>
  <c r="AC36" i="6"/>
  <c r="U36" i="6"/>
  <c r="Z36" i="6"/>
  <c r="R36" i="6"/>
  <c r="S36" i="6" s="1"/>
  <c r="N34" i="6"/>
  <c r="O34" i="6" s="1"/>
  <c r="W34" i="6"/>
  <c r="AC34" i="6"/>
  <c r="U34" i="6"/>
  <c r="Z34" i="6"/>
  <c r="R34" i="6"/>
  <c r="S34" i="6" s="1"/>
  <c r="AA34" i="6"/>
  <c r="N33" i="6"/>
  <c r="O33" i="6" s="1"/>
  <c r="W33" i="6"/>
  <c r="AC33" i="6"/>
  <c r="U33" i="6"/>
  <c r="AA33" i="6"/>
  <c r="R33" i="6"/>
  <c r="S33" i="6" s="1"/>
  <c r="Z33" i="6"/>
  <c r="M35" i="6" l="1"/>
  <c r="Q35" i="6"/>
  <c r="Q36" i="6"/>
  <c r="M33" i="6"/>
  <c r="Q33" i="6"/>
  <c r="B39" i="6" s="1"/>
  <c r="M36" i="6"/>
  <c r="Q34" i="6"/>
  <c r="M34" i="6"/>
  <c r="AA39" i="6" l="1"/>
  <c r="N39" i="6"/>
  <c r="O39" i="6" s="1"/>
  <c r="X39" i="6"/>
  <c r="F44" i="6"/>
  <c r="B44" i="6"/>
  <c r="F43" i="6"/>
  <c r="B43" i="6"/>
  <c r="F40" i="6"/>
  <c r="B40" i="6"/>
  <c r="F39" i="6"/>
  <c r="W43" i="6" l="1"/>
  <c r="AA43" i="6"/>
  <c r="N43" i="6"/>
  <c r="O43" i="6" s="1"/>
  <c r="U43" i="6"/>
  <c r="AC43" i="6"/>
  <c r="R43" i="6"/>
  <c r="S43" i="6" s="1"/>
  <c r="Z43" i="6"/>
  <c r="W44" i="6"/>
  <c r="N44" i="6"/>
  <c r="O44" i="6" s="1"/>
  <c r="AA44" i="6"/>
  <c r="U44" i="6"/>
  <c r="AC44" i="6"/>
  <c r="R44" i="6"/>
  <c r="S44" i="6" s="1"/>
  <c r="Z44" i="6"/>
  <c r="AC39" i="6"/>
  <c r="U39" i="6"/>
  <c r="R39" i="6"/>
  <c r="S39" i="6" s="1"/>
  <c r="Y39" i="6"/>
  <c r="AA40" i="6"/>
  <c r="N40" i="6"/>
  <c r="O40" i="6" s="1"/>
  <c r="M40" i="6" s="1"/>
  <c r="W40" i="6"/>
  <c r="Z40" i="6"/>
  <c r="R40" i="6"/>
  <c r="S40" i="6" s="1"/>
  <c r="U40" i="6"/>
  <c r="AC40" i="6"/>
  <c r="Q44" i="6" l="1"/>
  <c r="M43" i="6"/>
  <c r="B56" i="6" s="1"/>
  <c r="Q43" i="6"/>
  <c r="M44" i="6"/>
  <c r="Q39" i="6"/>
  <c r="M39" i="6"/>
  <c r="B50" i="6" s="1"/>
  <c r="Q40" i="6"/>
  <c r="F47" i="6" l="1"/>
  <c r="R47" i="6" s="1"/>
  <c r="AA56" i="6"/>
  <c r="Z56" i="6"/>
  <c r="R56" i="6"/>
  <c r="S56" i="6" s="1"/>
  <c r="Q56" i="6" s="1"/>
  <c r="AA50" i="6"/>
  <c r="N50" i="6"/>
  <c r="O50" i="6" s="1"/>
  <c r="M50" i="6" s="1"/>
  <c r="X50" i="6"/>
  <c r="B53" i="6"/>
  <c r="N53" i="6" s="1"/>
  <c r="O53" i="6" s="1"/>
  <c r="M53" i="6" s="1"/>
  <c r="F53" i="6"/>
  <c r="F56" i="6"/>
  <c r="B47" i="6"/>
  <c r="F50" i="6"/>
  <c r="U47" i="6" l="1"/>
  <c r="Y47" i="6"/>
  <c r="AC47" i="6"/>
  <c r="S47" i="6"/>
  <c r="Q47" i="6" s="1"/>
  <c r="C11" i="7"/>
  <c r="N47" i="6"/>
  <c r="X47" i="6"/>
  <c r="AA47" i="6"/>
  <c r="AA53" i="6"/>
  <c r="W53" i="6"/>
  <c r="N56" i="6"/>
  <c r="O56" i="6" s="1"/>
  <c r="M56" i="6" s="1"/>
  <c r="W56" i="6"/>
  <c r="AC56" i="6"/>
  <c r="U56" i="6"/>
  <c r="AC50" i="6"/>
  <c r="U50" i="6"/>
  <c r="R50" i="6"/>
  <c r="S50" i="6" s="1"/>
  <c r="Q50" i="6" s="1"/>
  <c r="Y50" i="6"/>
  <c r="Z53" i="6"/>
  <c r="R53" i="6"/>
  <c r="S53" i="6" s="1"/>
  <c r="Q53" i="6" s="1"/>
  <c r="AC53" i="6"/>
  <c r="U53" i="6"/>
  <c r="C5" i="7"/>
  <c r="C8" i="7"/>
  <c r="C6" i="7"/>
  <c r="C12" i="7" l="1"/>
  <c r="C19" i="7"/>
  <c r="C13" i="7"/>
  <c r="C18" i="7"/>
  <c r="C17" i="7"/>
  <c r="C14" i="7"/>
  <c r="C15" i="7"/>
  <c r="C16" i="7"/>
  <c r="C4" i="7"/>
  <c r="C9" i="7"/>
  <c r="O47" i="6"/>
  <c r="M47" i="6" s="1"/>
  <c r="C10" i="7"/>
  <c r="C7" i="7"/>
</calcChain>
</file>

<file path=xl/sharedStrings.xml><?xml version="1.0" encoding="utf-8"?>
<sst xmlns="http://schemas.openxmlformats.org/spreadsheetml/2006/main" count="917" uniqueCount="149">
  <si>
    <t>BRASILEIRO INDIViDUAL - FINAL - B - 16/10/2022 - Equipes</t>
  </si>
  <si>
    <t>JJFUTMESA - jjoliveirajr@jjfutmesa.com.br</t>
  </si>
  <si>
    <t>BRASILEIRO INDIViDUAL - FINAL - B - 16/10/2022 - Grupos</t>
  </si>
  <si>
    <t>Grupo A</t>
  </si>
  <si>
    <t>Grupo B</t>
  </si>
  <si>
    <t>Grupo C</t>
  </si>
  <si>
    <t>Grupo D</t>
  </si>
  <si>
    <t>Grupo E</t>
  </si>
  <si>
    <t>Grupo F</t>
  </si>
  <si>
    <t>BRASILEIRO INDIViDUAL - FINAL - B - 16/10/2022 - Jogos</t>
  </si>
  <si>
    <t>TJ</t>
  </si>
  <si>
    <t>1ª rodada</t>
  </si>
  <si>
    <t>Mesa</t>
  </si>
  <si>
    <t>Grupo</t>
  </si>
  <si>
    <t>Rodada</t>
  </si>
  <si>
    <t>J</t>
  </si>
  <si>
    <t>V</t>
  </si>
  <si>
    <t>E</t>
  </si>
  <si>
    <t>D</t>
  </si>
  <si>
    <t>M</t>
  </si>
  <si>
    <t>GPm</t>
  </si>
  <si>
    <t>GPv</t>
  </si>
  <si>
    <t>GCv</t>
  </si>
  <si>
    <t>x</t>
  </si>
  <si>
    <t>A</t>
  </si>
  <si>
    <t>B</t>
  </si>
  <si>
    <t>C</t>
  </si>
  <si>
    <t>F</t>
  </si>
  <si>
    <t>2ª rodada</t>
  </si>
  <si>
    <t>3ª rodada</t>
  </si>
  <si>
    <t>4ª rodada</t>
  </si>
  <si>
    <t>5ª rodada</t>
  </si>
  <si>
    <t>6ª rodada</t>
  </si>
  <si>
    <t>7ª rodada</t>
  </si>
  <si>
    <t>8ª rodada</t>
  </si>
  <si>
    <t>BRASILEIRO INDIViDUAL - FINAL - B - 16/10/2022 - ClassGrupFases</t>
  </si>
  <si>
    <t>Key</t>
  </si>
  <si>
    <t>Atletas</t>
  </si>
  <si>
    <t>%AP</t>
  </si>
  <si>
    <t>PTS</t>
  </si>
  <si>
    <t>GP</t>
  </si>
  <si>
    <t>GC</t>
  </si>
  <si>
    <t>SG</t>
  </si>
  <si>
    <t>ID</t>
  </si>
  <si>
    <t>TR</t>
  </si>
  <si>
    <t>BRASILEIRO INDIViDUAL - FINAL - B - 16/10/2022 - Classificação</t>
  </si>
  <si>
    <t>6A</t>
  </si>
  <si>
    <t>6B</t>
  </si>
  <si>
    <t>6C</t>
  </si>
  <si>
    <t>6D</t>
  </si>
  <si>
    <t>6E</t>
  </si>
  <si>
    <t>6F</t>
  </si>
  <si>
    <t>IN</t>
  </si>
  <si>
    <t>1A</t>
  </si>
  <si>
    <t>1B</t>
  </si>
  <si>
    <t>1C</t>
  </si>
  <si>
    <t>1D</t>
  </si>
  <si>
    <t>1E</t>
  </si>
  <si>
    <t>1F</t>
  </si>
  <si>
    <t>2A</t>
  </si>
  <si>
    <t>2B</t>
  </si>
  <si>
    <t>2C</t>
  </si>
  <si>
    <t>2D</t>
  </si>
  <si>
    <t>2E</t>
  </si>
  <si>
    <t>2F</t>
  </si>
  <si>
    <t>3A</t>
  </si>
  <si>
    <t>3B</t>
  </si>
  <si>
    <t>3C</t>
  </si>
  <si>
    <t>3D</t>
  </si>
  <si>
    <t>3E</t>
  </si>
  <si>
    <t>3F</t>
  </si>
  <si>
    <t>4A</t>
  </si>
  <si>
    <t>4B</t>
  </si>
  <si>
    <t>4C</t>
  </si>
  <si>
    <t>4D</t>
  </si>
  <si>
    <t>4E</t>
  </si>
  <si>
    <t>4F</t>
  </si>
  <si>
    <t>5A</t>
  </si>
  <si>
    <t>5B</t>
  </si>
  <si>
    <t>5C</t>
  </si>
  <si>
    <t>5D</t>
  </si>
  <si>
    <t>5E</t>
  </si>
  <si>
    <t>5F</t>
  </si>
  <si>
    <t>OUT</t>
  </si>
  <si>
    <t>7A</t>
  </si>
  <si>
    <t>7B</t>
  </si>
  <si>
    <t>7C</t>
  </si>
  <si>
    <t>7D</t>
  </si>
  <si>
    <t>7E</t>
  </si>
  <si>
    <t>7F</t>
  </si>
  <si>
    <t>BRASILEIRO INDIViDUAL - FINAL - B - 16/10/2022 - FINAIS</t>
  </si>
  <si>
    <t>CHECK</t>
  </si>
  <si>
    <t>16as. de Final</t>
  </si>
  <si>
    <t>RODADA ÚNICA</t>
  </si>
  <si>
    <t>MESA</t>
  </si>
  <si>
    <t>PASSA</t>
  </si>
  <si>
    <t>NÃO PASSA</t>
  </si>
  <si>
    <t>Oitavas de Final</t>
  </si>
  <si>
    <t>Quartas de Final</t>
  </si>
  <si>
    <t>Disputa de 5º a 8º</t>
  </si>
  <si>
    <t>Semifinais</t>
  </si>
  <si>
    <t>Disputa de 7º lugar</t>
  </si>
  <si>
    <t>Disputa de 5º lugar</t>
  </si>
  <si>
    <t>Disputa de 3º lugar</t>
  </si>
  <si>
    <t>Final</t>
  </si>
  <si>
    <t>CLASSIFICAÇÃO FINAL</t>
  </si>
  <si>
    <t>BRASILEIRO INDIViDUAL - FINAL - B - 16/10/2022 - Premiação</t>
  </si>
  <si>
    <t>1º</t>
  </si>
  <si>
    <t>2º</t>
  </si>
  <si>
    <t>3º</t>
  </si>
  <si>
    <t>4º</t>
  </si>
  <si>
    <t>5º</t>
  </si>
  <si>
    <t>6º</t>
  </si>
  <si>
    <t>7º</t>
  </si>
  <si>
    <t>8º</t>
  </si>
  <si>
    <t>9º</t>
  </si>
  <si>
    <t>10º</t>
  </si>
  <si>
    <t>11º</t>
  </si>
  <si>
    <t>12º</t>
  </si>
  <si>
    <t>13º</t>
  </si>
  <si>
    <t>14º</t>
  </si>
  <si>
    <t>15º</t>
  </si>
  <si>
    <t>16º</t>
  </si>
  <si>
    <t>17º</t>
  </si>
  <si>
    <t>18º</t>
  </si>
  <si>
    <t>19º</t>
  </si>
  <si>
    <t>20º</t>
  </si>
  <si>
    <t>21º</t>
  </si>
  <si>
    <t>22º</t>
  </si>
  <si>
    <t>23º</t>
  </si>
  <si>
    <t>24º</t>
  </si>
  <si>
    <t>25º</t>
  </si>
  <si>
    <t>26º</t>
  </si>
  <si>
    <t>27º</t>
  </si>
  <si>
    <t>28º</t>
  </si>
  <si>
    <t>29º</t>
  </si>
  <si>
    <t>30º</t>
  </si>
  <si>
    <t>31º</t>
  </si>
  <si>
    <t>32º</t>
  </si>
  <si>
    <t>33º</t>
  </si>
  <si>
    <t>34º</t>
  </si>
  <si>
    <t>35º</t>
  </si>
  <si>
    <t>36º</t>
  </si>
  <si>
    <t>37º</t>
  </si>
  <si>
    <t>38º</t>
  </si>
  <si>
    <t>39º</t>
  </si>
  <si>
    <t>40º</t>
  </si>
  <si>
    <t>41º</t>
  </si>
  <si>
    <t>42º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</si>
</sst>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hh:mm\h"/>
    <numFmt numFmtId="165" formatCode="0.0%"/>
    <numFmt numFmtId="166" formatCode="#\º"/>
    <numFmt numFmtId="167" formatCode="hh\.mm\h"/>
  </numFmts>
  <fonts count="2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indexed="8"/>
      <name val="Copperplate Gothic Bold"/>
      <family val="2"/>
    </font>
    <font>
      <sz val="10"/>
      <color indexed="12"/>
      <name val="Arial"/>
      <family val="2"/>
    </font>
    <font>
      <sz val="12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indexed="10"/>
      <name val="Calibri"/>
      <family val="2"/>
      <scheme val="minor"/>
    </font>
    <font>
      <sz val="8"/>
      <color theme="1"/>
      <name val="Segoe UI Light"/>
      <family val="2"/>
    </font>
    <font>
      <sz val="8"/>
      <color indexed="10"/>
      <name val="Segoe UI Light"/>
      <family val="2"/>
    </font>
    <font>
      <sz val="8"/>
      <color indexed="12"/>
      <name val="Segoe UI Light"/>
      <family val="2"/>
    </font>
    <font>
      <b/>
      <sz val="16"/>
      <color indexed="9"/>
      <name val="Segoe UI Light"/>
      <family val="2"/>
    </font>
    <font>
      <b/>
      <sz val="8"/>
      <color theme="1"/>
      <name val="Segoe UI Light"/>
      <family val="2"/>
    </font>
    <font>
      <sz val="12"/>
      <color theme="1"/>
      <name val="Segoe UI Light"/>
      <family val="2"/>
    </font>
    <font>
      <sz val="8"/>
      <color indexed="9"/>
      <name val="Segoe UI Light"/>
      <family val="2"/>
    </font>
    <font>
      <sz val="12"/>
      <color indexed="9"/>
      <name val="Segoe UI Light"/>
      <family val="2"/>
    </font>
    <font>
      <sz val="12"/>
      <color indexed="8"/>
      <name val="Segoe UI Light"/>
      <family val="2"/>
    </font>
    <font>
      <b/>
      <sz val="12"/>
      <color indexed="9"/>
      <name val="Segoe UI Light"/>
      <family val="2"/>
    </font>
    <font>
      <b/>
      <sz val="12"/>
      <color theme="1"/>
      <name val="Segoe UI Light"/>
      <family val="2"/>
    </font>
    <font>
      <b/>
      <sz val="12"/>
      <color indexed="8"/>
      <name val="Segoe UI Light"/>
      <family val="2"/>
    </font>
    <font>
      <b/>
      <sz val="8"/>
      <color indexed="12"/>
      <name val="Segoe UI Light"/>
      <family val="2"/>
    </font>
    <font>
      <b/>
      <sz val="8"/>
      <color indexed="10"/>
      <name val="Segoe UI Light"/>
      <family val="2"/>
    </font>
    <font>
      <b/>
      <sz val="14"/>
      <color theme="1"/>
      <name val="Segoe UI Light"/>
      <family val="2"/>
    </font>
    <font>
      <b/>
      <sz val="8"/>
      <color indexed="9"/>
      <name val="Segoe UI Light"/>
      <family val="2"/>
    </font>
    <font>
      <b/>
      <sz val="16"/>
      <color indexed="8"/>
      <name val="Copperplate Gothic Bold"/>
      <family val="2"/>
    </font>
    <font>
      <b/>
      <sz val="10"/>
      <color indexed="12"/>
      <name val="Arial"/>
      <family val="2"/>
    </font>
    <font>
      <sz val="10"/>
      <color indexed="23"/>
      <name val="Segoe UI Light"/>
      <family val="2"/>
    </font>
    <font>
      <sz val="8"/>
      <color rgb="FFCCFFCC"/>
      <name val="Calibri"/>
      <family val="2"/>
      <scheme val="minor"/>
    </font>
    <font>
      <sz val="6"/>
      <color theme="1"/>
      <name val="Segoe UI Light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3" borderId="0" xfId="0" applyFont="1" applyFill="1" applyAlignment="1">
      <alignment horizontal="right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left"/>
    </xf>
    <xf numFmtId="0" fontId="7" fillId="3" borderId="0" xfId="0" applyFont="1" applyFill="1" applyAlignment="1">
      <alignment horizontal="right"/>
    </xf>
    <xf numFmtId="164" fontId="6" fillId="3" borderId="0" xfId="0" applyNumberFormat="1" applyFont="1" applyFill="1" applyAlignment="1">
      <alignment horizontal="right"/>
    </xf>
    <xf numFmtId="0" fontId="1" fillId="2" borderId="0" xfId="0" applyFont="1" applyFill="1" applyAlignment="1" applyProtection="1">
      <alignment horizontal="center"/>
      <protection locked="0"/>
    </xf>
    <xf numFmtId="0" fontId="1" fillId="4" borderId="0" xfId="0" applyFont="1" applyFill="1" applyAlignment="1">
      <alignment horizontal="right"/>
    </xf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left"/>
    </xf>
    <xf numFmtId="0" fontId="7" fillId="4" borderId="0" xfId="0" applyFont="1" applyFill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5" borderId="0" xfId="0" applyFont="1" applyFill="1" applyAlignment="1">
      <alignment horizontal="center"/>
    </xf>
    <xf numFmtId="0" fontId="12" fillId="6" borderId="0" xfId="0" applyFont="1" applyFill="1" applyAlignment="1">
      <alignment horizontal="left"/>
    </xf>
    <xf numFmtId="0" fontId="8" fillId="6" borderId="0" xfId="0" applyFont="1" applyFill="1" applyAlignment="1">
      <alignment horizontal="center"/>
    </xf>
    <xf numFmtId="0" fontId="12" fillId="6" borderId="0" xfId="0" applyFont="1" applyFill="1" applyAlignment="1">
      <alignment horizontal="center"/>
    </xf>
    <xf numFmtId="165" fontId="8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4" fillId="0" borderId="0" xfId="0" applyFont="1" applyProtection="1">
      <protection hidden="1"/>
    </xf>
    <xf numFmtId="0" fontId="2" fillId="0" borderId="0" xfId="0" applyFont="1" applyAlignment="1" applyProtection="1">
      <alignment horizontal="left"/>
      <protection hidden="1"/>
    </xf>
    <xf numFmtId="0" fontId="13" fillId="0" borderId="0" xfId="0" applyFont="1" applyAlignment="1" applyProtection="1">
      <alignment horizontal="left"/>
      <protection hidden="1"/>
    </xf>
    <xf numFmtId="0" fontId="13" fillId="0" borderId="0" xfId="0" applyFont="1" applyAlignment="1" applyProtection="1">
      <alignment horizontal="right"/>
      <protection hidden="1"/>
    </xf>
    <xf numFmtId="0" fontId="15" fillId="0" borderId="0" xfId="0" applyFont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17" fillId="5" borderId="2" xfId="0" applyFont="1" applyFill="1" applyBorder="1" applyAlignment="1" applyProtection="1">
      <alignment horizontal="center"/>
      <protection hidden="1"/>
    </xf>
    <xf numFmtId="0" fontId="18" fillId="6" borderId="2" xfId="0" applyFont="1" applyFill="1" applyBorder="1" applyAlignment="1" applyProtection="1">
      <alignment horizontal="left"/>
      <protection hidden="1"/>
    </xf>
    <xf numFmtId="0" fontId="18" fillId="6" borderId="2" xfId="0" applyFont="1" applyFill="1" applyBorder="1" applyAlignment="1" applyProtection="1">
      <alignment horizontal="right"/>
      <protection hidden="1"/>
    </xf>
    <xf numFmtId="166" fontId="13" fillId="0" borderId="2" xfId="0" applyNumberFormat="1" applyFont="1" applyBorder="1" applyAlignment="1" applyProtection="1">
      <alignment horizontal="center"/>
      <protection hidden="1"/>
    </xf>
    <xf numFmtId="0" fontId="13" fillId="0" borderId="2" xfId="0" applyFont="1" applyBorder="1" applyAlignment="1" applyProtection="1">
      <alignment horizontal="left"/>
      <protection hidden="1"/>
    </xf>
    <xf numFmtId="165" fontId="13" fillId="0" borderId="2" xfId="0" applyNumberFormat="1" applyFont="1" applyBorder="1" applyAlignment="1" applyProtection="1">
      <alignment horizontal="right"/>
      <protection hidden="1"/>
    </xf>
    <xf numFmtId="0" fontId="13" fillId="0" borderId="2" xfId="0" applyFont="1" applyBorder="1" applyAlignment="1" applyProtection="1">
      <alignment horizontal="right"/>
      <protection hidden="1"/>
    </xf>
    <xf numFmtId="166" fontId="13" fillId="0" borderId="1" xfId="0" applyNumberFormat="1" applyFont="1" applyBorder="1" applyAlignment="1" applyProtection="1">
      <alignment horizontal="center"/>
      <protection hidden="1"/>
    </xf>
    <xf numFmtId="0" fontId="13" fillId="0" borderId="1" xfId="0" applyFont="1" applyBorder="1" applyAlignment="1" applyProtection="1">
      <alignment horizontal="left"/>
      <protection hidden="1"/>
    </xf>
    <xf numFmtId="165" fontId="13" fillId="0" borderId="1" xfId="0" applyNumberFormat="1" applyFont="1" applyBorder="1" applyAlignment="1" applyProtection="1">
      <alignment horizontal="right"/>
      <protection hidden="1"/>
    </xf>
    <xf numFmtId="0" fontId="13" fillId="0" borderId="1" xfId="0" applyFont="1" applyBorder="1" applyAlignment="1" applyProtection="1">
      <alignment horizontal="right"/>
      <protection hidden="1"/>
    </xf>
    <xf numFmtId="0" fontId="13" fillId="0" borderId="0" xfId="0" applyFont="1" applyAlignment="1" applyProtection="1">
      <alignment horizontal="center"/>
      <protection hidden="1"/>
    </xf>
    <xf numFmtId="0" fontId="11" fillId="7" borderId="0" xfId="0" applyFont="1" applyFill="1" applyAlignment="1">
      <alignment horizontal="center"/>
    </xf>
    <xf numFmtId="0" fontId="11" fillId="8" borderId="0" xfId="0" applyFont="1" applyFill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1" fillId="9" borderId="0" xfId="0" applyFont="1" applyFill="1" applyAlignment="1">
      <alignment horizontal="centerContinuous"/>
    </xf>
    <xf numFmtId="167" fontId="18" fillId="0" borderId="0" xfId="0" applyNumberFormat="1" applyFont="1" applyAlignment="1">
      <alignment horizontal="right"/>
    </xf>
    <xf numFmtId="0" fontId="19" fillId="6" borderId="0" xfId="0" applyFont="1" applyFill="1" applyAlignment="1">
      <alignment horizontal="center"/>
    </xf>
    <xf numFmtId="0" fontId="19" fillId="6" borderId="0" xfId="0" applyFont="1" applyFill="1" applyAlignment="1">
      <alignment horizontal="left"/>
    </xf>
    <xf numFmtId="0" fontId="10" fillId="6" borderId="0" xfId="0" applyFont="1" applyFill="1" applyAlignment="1">
      <alignment horizontal="centerContinuous"/>
    </xf>
    <xf numFmtId="0" fontId="20" fillId="6" borderId="0" xfId="0" applyFont="1" applyFill="1" applyAlignment="1">
      <alignment horizontal="centerContinuous"/>
    </xf>
    <xf numFmtId="0" fontId="9" fillId="6" borderId="0" xfId="0" applyFont="1" applyFill="1" applyAlignment="1">
      <alignment horizontal="centerContinuous"/>
    </xf>
    <xf numFmtId="0" fontId="21" fillId="6" borderId="0" xfId="0" applyFont="1" applyFill="1" applyAlignment="1">
      <alignment horizontal="centerContinuous"/>
    </xf>
    <xf numFmtId="0" fontId="13" fillId="4" borderId="0" xfId="0" applyFont="1" applyFill="1" applyAlignment="1">
      <alignment horizontal="center"/>
    </xf>
    <xf numFmtId="0" fontId="13" fillId="4" borderId="0" xfId="0" applyFont="1" applyFill="1" applyAlignment="1">
      <alignment horizontal="left"/>
    </xf>
    <xf numFmtId="0" fontId="9" fillId="4" borderId="0" xfId="0" applyFont="1" applyFill="1" applyAlignment="1">
      <alignment horizontal="right"/>
    </xf>
    <xf numFmtId="0" fontId="16" fillId="4" borderId="0" xfId="0" applyFont="1" applyFill="1" applyAlignment="1">
      <alignment horizontal="right"/>
    </xf>
    <xf numFmtId="0" fontId="13" fillId="2" borderId="0" xfId="0" applyFont="1" applyFill="1" applyAlignment="1" applyProtection="1">
      <alignment horizontal="center"/>
      <protection locked="0"/>
    </xf>
    <xf numFmtId="0" fontId="22" fillId="0" borderId="0" xfId="0" applyFont="1"/>
    <xf numFmtId="0" fontId="23" fillId="0" borderId="0" xfId="0" applyFont="1" applyProtection="1">
      <protection hidden="1"/>
    </xf>
    <xf numFmtId="0" fontId="24" fillId="0" borderId="0" xfId="0" applyFont="1" applyAlignment="1" applyProtection="1">
      <alignment horizontal="left"/>
      <protection hidden="1"/>
    </xf>
    <xf numFmtId="0" fontId="22" fillId="0" borderId="0" xfId="0" applyFont="1" applyAlignment="1" applyProtection="1">
      <alignment horizontal="left"/>
      <protection hidden="1"/>
    </xf>
    <xf numFmtId="0" fontId="25" fillId="0" borderId="0" xfId="0" applyFont="1" applyAlignment="1" applyProtection="1">
      <alignment horizontal="left"/>
      <protection hidden="1"/>
    </xf>
    <xf numFmtId="0" fontId="11" fillId="9" borderId="0" xfId="0" applyFont="1" applyFill="1" applyAlignment="1" applyProtection="1">
      <alignment horizontal="centerContinuous"/>
      <protection hidden="1"/>
    </xf>
    <xf numFmtId="0" fontId="22" fillId="10" borderId="2" xfId="0" applyFont="1" applyFill="1" applyBorder="1" applyAlignment="1" applyProtection="1">
      <alignment horizontal="center"/>
      <protection hidden="1"/>
    </xf>
    <xf numFmtId="0" fontId="22" fillId="6" borderId="2" xfId="0" applyFont="1" applyFill="1" applyBorder="1" applyAlignment="1" applyProtection="1">
      <alignment horizontal="left"/>
      <protection hidden="1"/>
    </xf>
    <xf numFmtId="0" fontId="22" fillId="0" borderId="2" xfId="0" applyFont="1" applyBorder="1" applyAlignment="1" applyProtection="1">
      <alignment horizontal="center"/>
      <protection hidden="1"/>
    </xf>
    <xf numFmtId="0" fontId="22" fillId="0" borderId="2" xfId="0" applyFont="1" applyBorder="1" applyAlignment="1" applyProtection="1">
      <alignment horizontal="left"/>
      <protection hidden="1"/>
    </xf>
    <xf numFmtId="0" fontId="22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left"/>
      <protection hidden="1"/>
    </xf>
    <xf numFmtId="0" fontId="26" fillId="0" borderId="0" xfId="0" applyFont="1" applyAlignment="1" applyProtection="1">
      <alignment horizontal="center"/>
      <protection hidden="1"/>
    </xf>
    <xf numFmtId="0" fontId="26" fillId="0" borderId="0" xfId="0" applyFont="1" applyAlignment="1" applyProtection="1">
      <alignment horizontal="left"/>
      <protection hidden="1"/>
    </xf>
    <xf numFmtId="0" fontId="22" fillId="0" borderId="0" xfId="0" applyFont="1" applyAlignment="1" applyProtection="1">
      <alignment horizontal="center"/>
      <protection hidden="1"/>
    </xf>
    <xf numFmtId="0" fontId="1" fillId="11" borderId="0" xfId="0" applyFont="1" applyFill="1" applyProtection="1">
      <protection hidden="1"/>
    </xf>
    <xf numFmtId="0" fontId="27" fillId="0" borderId="0" xfId="0" applyFont="1"/>
    <xf numFmtId="0" fontId="2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studoBrasileiroIndividual%20-%20Fase2%20-%20A_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studoBrasileiroIndividual%20-%20Fase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es"/>
      <sheetName val="Grupos"/>
      <sheetName val="Jogos"/>
      <sheetName val="ClassGrupFases"/>
      <sheetName val="Classificação"/>
      <sheetName val="Classificação 2ª Fase - A_B"/>
    </sheetNames>
    <sheetDataSet>
      <sheetData sheetId="0" refreshError="1"/>
      <sheetData sheetId="1" refreshError="1"/>
      <sheetData sheetId="2" refreshError="1"/>
      <sheetData sheetId="3">
        <row r="6">
          <cell r="D6" t="str">
            <v>Thiago Matoso RJ</v>
          </cell>
          <cell r="E6">
            <v>0.27777777777777779</v>
          </cell>
          <cell r="F6">
            <v>5</v>
          </cell>
          <cell r="G6">
            <v>6</v>
          </cell>
          <cell r="H6">
            <v>1</v>
          </cell>
          <cell r="I6">
            <v>2</v>
          </cell>
          <cell r="J6">
            <v>3</v>
          </cell>
          <cell r="K6">
            <v>10</v>
          </cell>
          <cell r="L6">
            <v>18</v>
          </cell>
          <cell r="M6">
            <v>-8</v>
          </cell>
          <cell r="N6">
            <v>28.28698771777778</v>
          </cell>
        </row>
        <row r="7">
          <cell r="D7" t="str">
            <v>Rogelson PR</v>
          </cell>
          <cell r="E7">
            <v>0.1111111111111111</v>
          </cell>
          <cell r="F7">
            <v>2</v>
          </cell>
          <cell r="G7">
            <v>6</v>
          </cell>
          <cell r="H7">
            <v>0</v>
          </cell>
          <cell r="I7">
            <v>2</v>
          </cell>
          <cell r="J7">
            <v>4</v>
          </cell>
          <cell r="K7">
            <v>3</v>
          </cell>
          <cell r="L7">
            <v>11</v>
          </cell>
          <cell r="M7">
            <v>-8</v>
          </cell>
          <cell r="N7">
            <v>11.310314041111109</v>
          </cell>
        </row>
        <row r="8">
          <cell r="D8" t="str">
            <v>Jorge Henrique RJ</v>
          </cell>
          <cell r="E8">
            <v>0.5</v>
          </cell>
          <cell r="F8">
            <v>9</v>
          </cell>
          <cell r="G8">
            <v>6</v>
          </cell>
          <cell r="H8">
            <v>3</v>
          </cell>
          <cell r="I8">
            <v>0</v>
          </cell>
          <cell r="J8">
            <v>3</v>
          </cell>
          <cell r="K8">
            <v>8</v>
          </cell>
          <cell r="L8">
            <v>10</v>
          </cell>
          <cell r="M8">
            <v>-2</v>
          </cell>
          <cell r="N8">
            <v>50.929807920000002</v>
          </cell>
        </row>
        <row r="9">
          <cell r="D9" t="str">
            <v>Tuca RJ</v>
          </cell>
          <cell r="E9">
            <v>1</v>
          </cell>
          <cell r="F9">
            <v>18</v>
          </cell>
          <cell r="G9">
            <v>6</v>
          </cell>
          <cell r="H9">
            <v>6</v>
          </cell>
          <cell r="I9">
            <v>0</v>
          </cell>
          <cell r="J9">
            <v>0</v>
          </cell>
          <cell r="K9">
            <v>21</v>
          </cell>
          <cell r="L9">
            <v>10</v>
          </cell>
          <cell r="M9">
            <v>11</v>
          </cell>
          <cell r="N9">
            <v>101.86112091</v>
          </cell>
        </row>
        <row r="10">
          <cell r="D10" t="str">
            <v>Tarouca RJ</v>
          </cell>
          <cell r="E10">
            <v>0.5</v>
          </cell>
          <cell r="F10">
            <v>9</v>
          </cell>
          <cell r="G10">
            <v>6</v>
          </cell>
          <cell r="H10">
            <v>2</v>
          </cell>
          <cell r="I10">
            <v>3</v>
          </cell>
          <cell r="J10">
            <v>1</v>
          </cell>
          <cell r="K10">
            <v>19</v>
          </cell>
          <cell r="L10">
            <v>11</v>
          </cell>
          <cell r="M10">
            <v>8</v>
          </cell>
          <cell r="N10">
            <v>50.9208189</v>
          </cell>
        </row>
        <row r="11">
          <cell r="D11" t="str">
            <v>Marcelinho RJ</v>
          </cell>
          <cell r="E11">
            <v>0.5</v>
          </cell>
          <cell r="F11">
            <v>9</v>
          </cell>
          <cell r="G11">
            <v>6</v>
          </cell>
          <cell r="H11">
            <v>2</v>
          </cell>
          <cell r="I11">
            <v>3</v>
          </cell>
          <cell r="J11">
            <v>1</v>
          </cell>
          <cell r="K11">
            <v>14</v>
          </cell>
          <cell r="L11">
            <v>13</v>
          </cell>
          <cell r="M11">
            <v>1</v>
          </cell>
          <cell r="N11">
            <v>50.920113889999996</v>
          </cell>
        </row>
        <row r="12">
          <cell r="D12" t="str">
            <v>Renato Souza MG</v>
          </cell>
          <cell r="E12">
            <v>0.27777777777777779</v>
          </cell>
          <cell r="F12">
            <v>5</v>
          </cell>
          <cell r="G12">
            <v>6</v>
          </cell>
          <cell r="H12">
            <v>1</v>
          </cell>
          <cell r="I12">
            <v>2</v>
          </cell>
          <cell r="J12">
            <v>3</v>
          </cell>
          <cell r="K12">
            <v>14</v>
          </cell>
          <cell r="L12">
            <v>16</v>
          </cell>
          <cell r="M12">
            <v>-2</v>
          </cell>
          <cell r="N12">
            <v>28.287591657777782</v>
          </cell>
        </row>
        <row r="14">
          <cell r="D14" t="str">
            <v>Atletas</v>
          </cell>
          <cell r="E14" t="str">
            <v>%AP</v>
          </cell>
          <cell r="F14" t="str">
            <v>PTS</v>
          </cell>
          <cell r="G14" t="str">
            <v>J</v>
          </cell>
          <cell r="H14" t="str">
            <v>V</v>
          </cell>
          <cell r="I14" t="str">
            <v>E</v>
          </cell>
          <cell r="J14" t="str">
            <v>D</v>
          </cell>
          <cell r="K14" t="str">
            <v>GP</v>
          </cell>
          <cell r="L14" t="str">
            <v>GC</v>
          </cell>
          <cell r="M14" t="str">
            <v>SG</v>
          </cell>
          <cell r="N14" t="str">
            <v>ID</v>
          </cell>
        </row>
        <row r="15">
          <cell r="D15" t="str">
            <v>Bruno Romar SP</v>
          </cell>
          <cell r="E15">
            <v>0.72222222222222221</v>
          </cell>
          <cell r="F15">
            <v>13</v>
          </cell>
          <cell r="G15">
            <v>6</v>
          </cell>
          <cell r="H15">
            <v>4</v>
          </cell>
          <cell r="I15">
            <v>1</v>
          </cell>
          <cell r="J15">
            <v>1</v>
          </cell>
          <cell r="K15">
            <v>23</v>
          </cell>
          <cell r="L15">
            <v>10</v>
          </cell>
          <cell r="M15">
            <v>13</v>
          </cell>
          <cell r="N15">
            <v>73.563545072222212</v>
          </cell>
        </row>
        <row r="16">
          <cell r="D16" t="str">
            <v>Barthez SP</v>
          </cell>
          <cell r="E16">
            <v>0.5</v>
          </cell>
          <cell r="F16">
            <v>9</v>
          </cell>
          <cell r="G16">
            <v>6</v>
          </cell>
          <cell r="H16">
            <v>3</v>
          </cell>
          <cell r="I16">
            <v>0</v>
          </cell>
          <cell r="J16">
            <v>3</v>
          </cell>
          <cell r="K16">
            <v>11</v>
          </cell>
          <cell r="L16">
            <v>16</v>
          </cell>
          <cell r="M16">
            <v>-5</v>
          </cell>
          <cell r="N16">
            <v>50.929510839999999</v>
          </cell>
        </row>
        <row r="17">
          <cell r="D17" t="str">
            <v>Ronald Neri RJ</v>
          </cell>
          <cell r="E17">
            <v>0.77777777777777779</v>
          </cell>
          <cell r="F17">
            <v>14</v>
          </cell>
          <cell r="G17">
            <v>6</v>
          </cell>
          <cell r="H17">
            <v>4</v>
          </cell>
          <cell r="I17">
            <v>2</v>
          </cell>
          <cell r="J17">
            <v>0</v>
          </cell>
          <cell r="K17">
            <v>33</v>
          </cell>
          <cell r="L17">
            <v>15</v>
          </cell>
          <cell r="M17">
            <v>18</v>
          </cell>
          <cell r="N17">
            <v>79.219610607777767</v>
          </cell>
        </row>
        <row r="18">
          <cell r="D18" t="str">
            <v>Mário Bürguel RS</v>
          </cell>
          <cell r="E18">
            <v>0.3888888888888889</v>
          </cell>
          <cell r="F18">
            <v>7</v>
          </cell>
          <cell r="G18">
            <v>6</v>
          </cell>
          <cell r="H18">
            <v>2</v>
          </cell>
          <cell r="I18">
            <v>1</v>
          </cell>
          <cell r="J18">
            <v>3</v>
          </cell>
          <cell r="K18">
            <v>10</v>
          </cell>
          <cell r="L18">
            <v>20</v>
          </cell>
          <cell r="M18">
            <v>-10</v>
          </cell>
          <cell r="N18">
            <v>39.607898708888889</v>
          </cell>
        </row>
        <row r="19">
          <cell r="D19" t="str">
            <v>Vinicius Rolim RJ</v>
          </cell>
          <cell r="E19">
            <v>0.27777777777777779</v>
          </cell>
          <cell r="F19">
            <v>5</v>
          </cell>
          <cell r="G19">
            <v>6</v>
          </cell>
          <cell r="H19">
            <v>1</v>
          </cell>
          <cell r="I19">
            <v>2</v>
          </cell>
          <cell r="J19">
            <v>3</v>
          </cell>
          <cell r="K19">
            <v>15</v>
          </cell>
          <cell r="L19">
            <v>17</v>
          </cell>
          <cell r="M19">
            <v>-2</v>
          </cell>
          <cell r="N19">
            <v>28.287592587777777</v>
          </cell>
        </row>
        <row r="20">
          <cell r="D20" t="str">
            <v>Israel RJ</v>
          </cell>
          <cell r="E20">
            <v>0.22222222222222221</v>
          </cell>
          <cell r="F20">
            <v>4</v>
          </cell>
          <cell r="G20">
            <v>6</v>
          </cell>
          <cell r="H20">
            <v>1</v>
          </cell>
          <cell r="I20">
            <v>1</v>
          </cell>
          <cell r="J20">
            <v>4</v>
          </cell>
          <cell r="K20">
            <v>11</v>
          </cell>
          <cell r="L20">
            <v>20</v>
          </cell>
          <cell r="M20">
            <v>-9</v>
          </cell>
          <cell r="N20">
            <v>22.631333022222222</v>
          </cell>
        </row>
        <row r="21">
          <cell r="D21" t="str">
            <v>Alysson RJ</v>
          </cell>
          <cell r="E21">
            <v>0.3888888888888889</v>
          </cell>
          <cell r="F21">
            <v>7</v>
          </cell>
          <cell r="G21">
            <v>6</v>
          </cell>
          <cell r="H21">
            <v>2</v>
          </cell>
          <cell r="I21">
            <v>1</v>
          </cell>
          <cell r="J21">
            <v>3</v>
          </cell>
          <cell r="K21">
            <v>10</v>
          </cell>
          <cell r="L21">
            <v>15</v>
          </cell>
          <cell r="M21">
            <v>-5</v>
          </cell>
          <cell r="N21">
            <v>39.608398678888882</v>
          </cell>
        </row>
        <row r="23">
          <cell r="D23" t="str">
            <v>Atletas</v>
          </cell>
          <cell r="E23" t="str">
            <v>%AP</v>
          </cell>
          <cell r="F23" t="str">
            <v>PTS</v>
          </cell>
          <cell r="G23" t="str">
            <v>J</v>
          </cell>
          <cell r="H23" t="str">
            <v>V</v>
          </cell>
          <cell r="I23" t="str">
            <v>E</v>
          </cell>
          <cell r="J23" t="str">
            <v>D</v>
          </cell>
          <cell r="K23" t="str">
            <v>GP</v>
          </cell>
          <cell r="L23" t="str">
            <v>GC</v>
          </cell>
          <cell r="M23" t="str">
            <v>SG</v>
          </cell>
          <cell r="N23" t="str">
            <v>ID</v>
          </cell>
        </row>
        <row r="24">
          <cell r="D24" t="str">
            <v>Bandini RJ</v>
          </cell>
          <cell r="E24">
            <v>0.66666666666666663</v>
          </cell>
          <cell r="F24">
            <v>12</v>
          </cell>
          <cell r="G24">
            <v>6</v>
          </cell>
          <cell r="H24">
            <v>3</v>
          </cell>
          <cell r="I24">
            <v>3</v>
          </cell>
          <cell r="J24">
            <v>0</v>
          </cell>
          <cell r="K24">
            <v>18</v>
          </cell>
          <cell r="L24">
            <v>9</v>
          </cell>
          <cell r="M24">
            <v>9</v>
          </cell>
          <cell r="N24">
            <v>67.897584426666654</v>
          </cell>
        </row>
        <row r="25">
          <cell r="D25" t="str">
            <v>João Paulo MG</v>
          </cell>
          <cell r="E25">
            <v>0.44444444444444442</v>
          </cell>
          <cell r="F25">
            <v>8</v>
          </cell>
          <cell r="G25">
            <v>6</v>
          </cell>
          <cell r="H25">
            <v>2</v>
          </cell>
          <cell r="I25">
            <v>2</v>
          </cell>
          <cell r="J25">
            <v>2</v>
          </cell>
          <cell r="K25">
            <v>12</v>
          </cell>
          <cell r="L25">
            <v>11</v>
          </cell>
          <cell r="M25">
            <v>1</v>
          </cell>
          <cell r="N25">
            <v>45.264556194444438</v>
          </cell>
        </row>
        <row r="26">
          <cell r="D26" t="str">
            <v>Marrentinho RJ</v>
          </cell>
          <cell r="E26">
            <v>0.55555555555555558</v>
          </cell>
          <cell r="F26">
            <v>10</v>
          </cell>
          <cell r="G26">
            <v>6</v>
          </cell>
          <cell r="H26">
            <v>3</v>
          </cell>
          <cell r="I26">
            <v>1</v>
          </cell>
          <cell r="J26">
            <v>2</v>
          </cell>
          <cell r="K26">
            <v>13</v>
          </cell>
          <cell r="L26">
            <v>9</v>
          </cell>
          <cell r="M26">
            <v>4</v>
          </cell>
          <cell r="N26">
            <v>56.58596829555556</v>
          </cell>
        </row>
        <row r="27">
          <cell r="D27" t="str">
            <v>Tubarão RJ</v>
          </cell>
          <cell r="E27">
            <v>0.66666666666666663</v>
          </cell>
          <cell r="F27">
            <v>12</v>
          </cell>
          <cell r="G27">
            <v>6</v>
          </cell>
          <cell r="H27">
            <v>4</v>
          </cell>
          <cell r="I27">
            <v>0</v>
          </cell>
          <cell r="J27">
            <v>2</v>
          </cell>
          <cell r="K27">
            <v>15</v>
          </cell>
          <cell r="L27">
            <v>13</v>
          </cell>
          <cell r="M27">
            <v>2</v>
          </cell>
          <cell r="N27">
            <v>67.906881396666662</v>
          </cell>
        </row>
        <row r="28">
          <cell r="D28" t="str">
            <v>Alex Lage MG</v>
          </cell>
          <cell r="E28">
            <v>0.44444444444444442</v>
          </cell>
          <cell r="F28">
            <v>8</v>
          </cell>
          <cell r="G28">
            <v>6</v>
          </cell>
          <cell r="H28">
            <v>2</v>
          </cell>
          <cell r="I28">
            <v>2</v>
          </cell>
          <cell r="J28">
            <v>2</v>
          </cell>
          <cell r="K28">
            <v>12</v>
          </cell>
          <cell r="L28">
            <v>12</v>
          </cell>
          <cell r="M28">
            <v>0</v>
          </cell>
          <cell r="N28">
            <v>45.264456164444439</v>
          </cell>
        </row>
        <row r="29">
          <cell r="D29" t="str">
            <v>Curvelo RJ</v>
          </cell>
          <cell r="E29">
            <v>5.5555555555555552E-2</v>
          </cell>
          <cell r="F29">
            <v>1</v>
          </cell>
          <cell r="G29">
            <v>6</v>
          </cell>
          <cell r="H29">
            <v>0</v>
          </cell>
          <cell r="I29">
            <v>1</v>
          </cell>
          <cell r="J29">
            <v>5</v>
          </cell>
          <cell r="K29">
            <v>4</v>
          </cell>
          <cell r="L29">
            <v>16</v>
          </cell>
          <cell r="M29">
            <v>-12</v>
          </cell>
          <cell r="N29">
            <v>5.6543592655555548</v>
          </cell>
        </row>
        <row r="30">
          <cell r="D30" t="str">
            <v>Vitor Luiz</v>
          </cell>
          <cell r="E30">
            <v>0.33333333333333331</v>
          </cell>
          <cell r="F30">
            <v>6</v>
          </cell>
          <cell r="G30">
            <v>6</v>
          </cell>
          <cell r="H30">
            <v>1</v>
          </cell>
          <cell r="I30">
            <v>3</v>
          </cell>
          <cell r="J30">
            <v>2</v>
          </cell>
          <cell r="K30">
            <v>10</v>
          </cell>
          <cell r="L30">
            <v>14</v>
          </cell>
          <cell r="M30">
            <v>-4</v>
          </cell>
          <cell r="N30">
            <v>33.942943033333322</v>
          </cell>
        </row>
        <row r="32">
          <cell r="D32" t="str">
            <v>Atletas</v>
          </cell>
          <cell r="E32" t="str">
            <v>%AP</v>
          </cell>
          <cell r="F32" t="str">
            <v>PTS</v>
          </cell>
          <cell r="G32" t="str">
            <v>J</v>
          </cell>
          <cell r="H32" t="str">
            <v>V</v>
          </cell>
          <cell r="I32" t="str">
            <v>E</v>
          </cell>
          <cell r="J32" t="str">
            <v>D</v>
          </cell>
          <cell r="K32" t="str">
            <v>GP</v>
          </cell>
          <cell r="L32" t="str">
            <v>GC</v>
          </cell>
          <cell r="M32" t="str">
            <v>SG</v>
          </cell>
          <cell r="N32" t="str">
            <v>ID</v>
          </cell>
        </row>
        <row r="33">
          <cell r="D33" t="str">
            <v>Pitico RJ</v>
          </cell>
          <cell r="E33">
            <v>0.61111111111111116</v>
          </cell>
          <cell r="F33">
            <v>11</v>
          </cell>
          <cell r="G33">
            <v>6</v>
          </cell>
          <cell r="H33">
            <v>3</v>
          </cell>
          <cell r="I33">
            <v>2</v>
          </cell>
          <cell r="J33">
            <v>1</v>
          </cell>
          <cell r="K33">
            <v>13</v>
          </cell>
          <cell r="L33">
            <v>10</v>
          </cell>
          <cell r="M33">
            <v>3</v>
          </cell>
          <cell r="N33">
            <v>62.241423781111124</v>
          </cell>
        </row>
        <row r="34">
          <cell r="D34" t="str">
            <v>Marcelo Baceiredo MG</v>
          </cell>
          <cell r="E34">
            <v>0.33333333333333331</v>
          </cell>
          <cell r="F34">
            <v>6</v>
          </cell>
          <cell r="G34">
            <v>6</v>
          </cell>
          <cell r="H34">
            <v>2</v>
          </cell>
          <cell r="I34">
            <v>0</v>
          </cell>
          <cell r="J34">
            <v>4</v>
          </cell>
          <cell r="K34">
            <v>5</v>
          </cell>
          <cell r="L34">
            <v>9</v>
          </cell>
          <cell r="M34">
            <v>-4</v>
          </cell>
          <cell r="N34">
            <v>33.952937993333329</v>
          </cell>
        </row>
        <row r="35">
          <cell r="D35" t="str">
            <v>Simplício DF</v>
          </cell>
          <cell r="E35">
            <v>0.83333333333333337</v>
          </cell>
          <cell r="F35">
            <v>15</v>
          </cell>
          <cell r="G35">
            <v>6</v>
          </cell>
          <cell r="H35">
            <v>5</v>
          </cell>
          <cell r="I35">
            <v>0</v>
          </cell>
          <cell r="J35">
            <v>1</v>
          </cell>
          <cell r="K35">
            <v>13</v>
          </cell>
          <cell r="L35">
            <v>7</v>
          </cell>
          <cell r="M35">
            <v>6</v>
          </cell>
          <cell r="N35">
            <v>84.883945983333348</v>
          </cell>
        </row>
        <row r="36">
          <cell r="D36" t="str">
            <v>Danilo Carrasco DF</v>
          </cell>
          <cell r="E36">
            <v>0.55555555555555558</v>
          </cell>
          <cell r="F36">
            <v>10</v>
          </cell>
          <cell r="G36">
            <v>6</v>
          </cell>
          <cell r="H36">
            <v>3</v>
          </cell>
          <cell r="I36">
            <v>1</v>
          </cell>
          <cell r="J36">
            <v>2</v>
          </cell>
          <cell r="K36">
            <v>16</v>
          </cell>
          <cell r="L36">
            <v>11</v>
          </cell>
          <cell r="M36">
            <v>5</v>
          </cell>
          <cell r="N36">
            <v>56.586071195555562</v>
          </cell>
        </row>
        <row r="37">
          <cell r="D37" t="str">
            <v>Marcão SP</v>
          </cell>
          <cell r="E37">
            <v>0.88888888888888884</v>
          </cell>
          <cell r="F37">
            <v>16</v>
          </cell>
          <cell r="G37">
            <v>6</v>
          </cell>
          <cell r="H37">
            <v>5</v>
          </cell>
          <cell r="I37">
            <v>1</v>
          </cell>
          <cell r="J37">
            <v>0</v>
          </cell>
          <cell r="K37">
            <v>17</v>
          </cell>
          <cell r="L37">
            <v>10</v>
          </cell>
          <cell r="M37">
            <v>7</v>
          </cell>
          <cell r="N37">
            <v>90.539605518888891</v>
          </cell>
        </row>
        <row r="38">
          <cell r="D38" t="str">
            <v>Claudio Mastrangelo RS</v>
          </cell>
          <cell r="E38">
            <v>5.5555555555555552E-2</v>
          </cell>
          <cell r="F38">
            <v>1</v>
          </cell>
          <cell r="G38">
            <v>6</v>
          </cell>
          <cell r="H38">
            <v>0</v>
          </cell>
          <cell r="I38">
            <v>1</v>
          </cell>
          <cell r="J38">
            <v>5</v>
          </cell>
          <cell r="K38">
            <v>4</v>
          </cell>
          <cell r="L38">
            <v>14</v>
          </cell>
          <cell r="M38">
            <v>-10</v>
          </cell>
          <cell r="N38">
            <v>5.6545591755555549</v>
          </cell>
        </row>
        <row r="39">
          <cell r="D39" t="str">
            <v>Ronaldo Eifler RS</v>
          </cell>
          <cell r="E39">
            <v>5.5555555555555552E-2</v>
          </cell>
          <cell r="F39">
            <v>1</v>
          </cell>
          <cell r="G39">
            <v>6</v>
          </cell>
          <cell r="H39">
            <v>0</v>
          </cell>
          <cell r="I39">
            <v>1</v>
          </cell>
          <cell r="J39">
            <v>5</v>
          </cell>
          <cell r="K39">
            <v>6</v>
          </cell>
          <cell r="L39">
            <v>13</v>
          </cell>
          <cell r="M39">
            <v>-7</v>
          </cell>
          <cell r="N39">
            <v>5.6548611655555545</v>
          </cell>
        </row>
        <row r="41">
          <cell r="D41" t="str">
            <v>Atletas</v>
          </cell>
          <cell r="E41" t="str">
            <v>%AP</v>
          </cell>
          <cell r="F41" t="str">
            <v>PTS</v>
          </cell>
          <cell r="G41" t="str">
            <v>J</v>
          </cell>
          <cell r="H41" t="str">
            <v>V</v>
          </cell>
          <cell r="I41" t="str">
            <v>E</v>
          </cell>
          <cell r="J41" t="str">
            <v>D</v>
          </cell>
          <cell r="K41" t="str">
            <v>GP</v>
          </cell>
          <cell r="L41" t="str">
            <v>GC</v>
          </cell>
          <cell r="M41" t="str">
            <v>SG</v>
          </cell>
          <cell r="N41" t="str">
            <v>ID</v>
          </cell>
        </row>
        <row r="42">
          <cell r="D42" t="str">
            <v>Eduardo Rocha RJ</v>
          </cell>
          <cell r="E42">
            <v>0.22222222222222221</v>
          </cell>
          <cell r="F42">
            <v>4</v>
          </cell>
          <cell r="G42">
            <v>6</v>
          </cell>
          <cell r="H42">
            <v>0</v>
          </cell>
          <cell r="I42">
            <v>4</v>
          </cell>
          <cell r="J42">
            <v>2</v>
          </cell>
          <cell r="K42">
            <v>11</v>
          </cell>
          <cell r="L42">
            <v>18</v>
          </cell>
          <cell r="M42">
            <v>-7</v>
          </cell>
          <cell r="N42">
            <v>22.62153280222222</v>
          </cell>
        </row>
        <row r="43">
          <cell r="D43" t="str">
            <v>Willow SP</v>
          </cell>
          <cell r="E43">
            <v>0.44444444444444442</v>
          </cell>
          <cell r="F43">
            <v>8</v>
          </cell>
          <cell r="G43">
            <v>6</v>
          </cell>
          <cell r="H43">
            <v>2</v>
          </cell>
          <cell r="I43">
            <v>2</v>
          </cell>
          <cell r="J43">
            <v>2</v>
          </cell>
          <cell r="K43">
            <v>12</v>
          </cell>
          <cell r="L43">
            <v>13</v>
          </cell>
          <cell r="M43">
            <v>-1</v>
          </cell>
          <cell r="N43">
            <v>45.264356014444438</v>
          </cell>
        </row>
        <row r="44">
          <cell r="D44" t="str">
            <v>Cleciano RJ</v>
          </cell>
          <cell r="E44">
            <v>0.61111111111111116</v>
          </cell>
          <cell r="F44">
            <v>11</v>
          </cell>
          <cell r="G44">
            <v>6</v>
          </cell>
          <cell r="H44">
            <v>3</v>
          </cell>
          <cell r="I44">
            <v>2</v>
          </cell>
          <cell r="J44">
            <v>1</v>
          </cell>
          <cell r="K44">
            <v>16</v>
          </cell>
          <cell r="L44">
            <v>10</v>
          </cell>
          <cell r="M44">
            <v>6</v>
          </cell>
          <cell r="N44">
            <v>62.241726671111117</v>
          </cell>
        </row>
        <row r="45">
          <cell r="D45" t="str">
            <v>Quartarone RJ</v>
          </cell>
          <cell r="E45">
            <v>0.83333333333333337</v>
          </cell>
          <cell r="F45">
            <v>15</v>
          </cell>
          <cell r="G45">
            <v>6</v>
          </cell>
          <cell r="H45">
            <v>5</v>
          </cell>
          <cell r="I45">
            <v>0</v>
          </cell>
          <cell r="J45">
            <v>1</v>
          </cell>
          <cell r="K45">
            <v>28</v>
          </cell>
          <cell r="L45">
            <v>16</v>
          </cell>
          <cell r="M45">
            <v>12</v>
          </cell>
          <cell r="N45">
            <v>84.884560883333336</v>
          </cell>
        </row>
        <row r="46">
          <cell r="D46" t="str">
            <v>Eduardo Massa MG</v>
          </cell>
          <cell r="E46">
            <v>0.16666666666666666</v>
          </cell>
          <cell r="F46">
            <v>3</v>
          </cell>
          <cell r="G46">
            <v>6</v>
          </cell>
          <cell r="H46">
            <v>0</v>
          </cell>
          <cell r="I46">
            <v>3</v>
          </cell>
          <cell r="J46">
            <v>3</v>
          </cell>
          <cell r="K46">
            <v>6</v>
          </cell>
          <cell r="L46">
            <v>13</v>
          </cell>
          <cell r="M46">
            <v>-7</v>
          </cell>
          <cell r="N46">
            <v>16.965972206666667</v>
          </cell>
        </row>
        <row r="47">
          <cell r="D47" t="str">
            <v>Marcelo Aranha SP</v>
          </cell>
          <cell r="E47">
            <v>0.22222222222222221</v>
          </cell>
          <cell r="F47">
            <v>4</v>
          </cell>
          <cell r="G47">
            <v>6</v>
          </cell>
          <cell r="H47">
            <v>1</v>
          </cell>
          <cell r="I47">
            <v>1</v>
          </cell>
          <cell r="J47">
            <v>4</v>
          </cell>
          <cell r="K47">
            <v>8</v>
          </cell>
          <cell r="L47">
            <v>17</v>
          </cell>
          <cell r="M47">
            <v>-9</v>
          </cell>
          <cell r="N47">
            <v>22.631329752222221</v>
          </cell>
        </row>
        <row r="48">
          <cell r="D48" t="str">
            <v>Oliveira RJ</v>
          </cell>
          <cell r="E48">
            <v>0.55555555555555558</v>
          </cell>
          <cell r="F48">
            <v>10</v>
          </cell>
          <cell r="G48">
            <v>6</v>
          </cell>
          <cell r="H48">
            <v>2</v>
          </cell>
          <cell r="I48">
            <v>4</v>
          </cell>
          <cell r="J48">
            <v>0</v>
          </cell>
          <cell r="K48">
            <v>22</v>
          </cell>
          <cell r="L48">
            <v>16</v>
          </cell>
          <cell r="M48">
            <v>6</v>
          </cell>
          <cell r="N48">
            <v>56.576177075555563</v>
          </cell>
        </row>
        <row r="50">
          <cell r="D50" t="str">
            <v>Atletas</v>
          </cell>
          <cell r="E50" t="str">
            <v>%AP</v>
          </cell>
          <cell r="F50" t="str">
            <v>PTS</v>
          </cell>
          <cell r="G50" t="str">
            <v>J</v>
          </cell>
          <cell r="H50" t="str">
            <v>V</v>
          </cell>
          <cell r="I50" t="str">
            <v>E</v>
          </cell>
          <cell r="J50" t="str">
            <v>D</v>
          </cell>
          <cell r="K50" t="str">
            <v>GP</v>
          </cell>
          <cell r="L50" t="str">
            <v>GC</v>
          </cell>
          <cell r="M50" t="str">
            <v>SG</v>
          </cell>
          <cell r="N50" t="str">
            <v>ID</v>
          </cell>
        </row>
        <row r="51">
          <cell r="D51" t="str">
            <v>Aires RJ</v>
          </cell>
          <cell r="E51">
            <v>0.55555555555555558</v>
          </cell>
          <cell r="F51">
            <v>10</v>
          </cell>
          <cell r="G51">
            <v>6</v>
          </cell>
          <cell r="H51">
            <v>3</v>
          </cell>
          <cell r="I51">
            <v>1</v>
          </cell>
          <cell r="J51">
            <v>2</v>
          </cell>
          <cell r="K51">
            <v>25</v>
          </cell>
          <cell r="L51">
            <v>18</v>
          </cell>
          <cell r="M51">
            <v>7</v>
          </cell>
          <cell r="N51">
            <v>56.586280045555561</v>
          </cell>
        </row>
        <row r="52">
          <cell r="D52" t="str">
            <v>Rodrigo Macieira RJ</v>
          </cell>
          <cell r="E52">
            <v>1</v>
          </cell>
          <cell r="F52">
            <v>18</v>
          </cell>
          <cell r="G52">
            <v>6</v>
          </cell>
          <cell r="H52">
            <v>6</v>
          </cell>
          <cell r="I52">
            <v>0</v>
          </cell>
          <cell r="J52">
            <v>0</v>
          </cell>
          <cell r="K52">
            <v>25</v>
          </cell>
          <cell r="L52">
            <v>9</v>
          </cell>
          <cell r="M52">
            <v>16</v>
          </cell>
          <cell r="N52">
            <v>101.86162448</v>
          </cell>
        </row>
        <row r="53">
          <cell r="D53" t="str">
            <v>Gabriel RJ</v>
          </cell>
          <cell r="E53">
            <v>0.5</v>
          </cell>
          <cell r="F53">
            <v>9</v>
          </cell>
          <cell r="G53">
            <v>6</v>
          </cell>
          <cell r="H53">
            <v>3</v>
          </cell>
          <cell r="I53">
            <v>0</v>
          </cell>
          <cell r="J53">
            <v>3</v>
          </cell>
          <cell r="K53">
            <v>14</v>
          </cell>
          <cell r="L53">
            <v>19</v>
          </cell>
          <cell r="M53">
            <v>-5</v>
          </cell>
          <cell r="N53">
            <v>50.929513469999996</v>
          </cell>
        </row>
        <row r="54">
          <cell r="D54" t="str">
            <v>Castilho RJ</v>
          </cell>
          <cell r="E54">
            <v>0.66666666666666663</v>
          </cell>
          <cell r="F54">
            <v>12</v>
          </cell>
          <cell r="G54">
            <v>6</v>
          </cell>
          <cell r="H54">
            <v>4</v>
          </cell>
          <cell r="I54">
            <v>0</v>
          </cell>
          <cell r="J54">
            <v>2</v>
          </cell>
          <cell r="K54">
            <v>17</v>
          </cell>
          <cell r="L54">
            <v>12</v>
          </cell>
          <cell r="M54">
            <v>5</v>
          </cell>
          <cell r="N54">
            <v>67.907183126666652</v>
          </cell>
        </row>
        <row r="55">
          <cell r="D55" t="str">
            <v>Marco Lomba SC</v>
          </cell>
          <cell r="E55">
            <v>0.55555555555555558</v>
          </cell>
          <cell r="F55">
            <v>10</v>
          </cell>
          <cell r="G55">
            <v>6</v>
          </cell>
          <cell r="H55">
            <v>3</v>
          </cell>
          <cell r="I55">
            <v>1</v>
          </cell>
          <cell r="J55">
            <v>2</v>
          </cell>
          <cell r="K55">
            <v>16</v>
          </cell>
          <cell r="L55">
            <v>11</v>
          </cell>
          <cell r="M55">
            <v>5</v>
          </cell>
          <cell r="N55">
            <v>56.58607100555556</v>
          </cell>
        </row>
        <row r="56">
          <cell r="D56" t="str">
            <v>Bergamini SP</v>
          </cell>
          <cell r="E56">
            <v>0</v>
          </cell>
          <cell r="F56">
            <v>0</v>
          </cell>
          <cell r="G56">
            <v>6</v>
          </cell>
          <cell r="H56">
            <v>0</v>
          </cell>
          <cell r="I56">
            <v>0</v>
          </cell>
          <cell r="J56">
            <v>6</v>
          </cell>
          <cell r="K56">
            <v>5</v>
          </cell>
          <cell r="L56">
            <v>28</v>
          </cell>
          <cell r="M56">
            <v>-23</v>
          </cell>
          <cell r="N56">
            <v>-2.2955600000000003E-3</v>
          </cell>
        </row>
        <row r="57">
          <cell r="D57" t="str">
            <v>Tabajara SP</v>
          </cell>
          <cell r="E57">
            <v>0.16666666666666666</v>
          </cell>
          <cell r="F57">
            <v>3</v>
          </cell>
          <cell r="G57">
            <v>6</v>
          </cell>
          <cell r="H57">
            <v>1</v>
          </cell>
          <cell r="I57">
            <v>0</v>
          </cell>
          <cell r="J57">
            <v>5</v>
          </cell>
          <cell r="K57">
            <v>13</v>
          </cell>
          <cell r="L57">
            <v>18</v>
          </cell>
          <cell r="M57">
            <v>-5</v>
          </cell>
          <cell r="N57">
            <v>16.976179096666662</v>
          </cell>
        </row>
        <row r="59">
          <cell r="D59" t="str">
            <v>Atletas</v>
          </cell>
          <cell r="E59" t="str">
            <v>%AP</v>
          </cell>
          <cell r="F59" t="str">
            <v>PTS</v>
          </cell>
          <cell r="G59" t="str">
            <v>J</v>
          </cell>
          <cell r="H59" t="str">
            <v>V</v>
          </cell>
          <cell r="I59" t="str">
            <v>E</v>
          </cell>
          <cell r="J59" t="str">
            <v>D</v>
          </cell>
          <cell r="K59" t="str">
            <v>GP</v>
          </cell>
          <cell r="L59" t="str">
            <v>GC</v>
          </cell>
          <cell r="M59" t="str">
            <v>SG</v>
          </cell>
          <cell r="N59" t="str">
            <v>ID</v>
          </cell>
        </row>
        <row r="60">
          <cell r="D60" t="str">
            <v>Victor Praça RJ</v>
          </cell>
          <cell r="E60">
            <v>0.88888888888888884</v>
          </cell>
          <cell r="F60">
            <v>16</v>
          </cell>
          <cell r="G60">
            <v>6</v>
          </cell>
          <cell r="H60">
            <v>5</v>
          </cell>
          <cell r="I60">
            <v>1</v>
          </cell>
          <cell r="J60">
            <v>0</v>
          </cell>
          <cell r="K60">
            <v>19</v>
          </cell>
          <cell r="L60">
            <v>9</v>
          </cell>
          <cell r="M60">
            <v>10</v>
          </cell>
          <cell r="N60">
            <v>90.53990728888887</v>
          </cell>
        </row>
        <row r="61">
          <cell r="D61" t="str">
            <v>Luís Colla MG</v>
          </cell>
          <cell r="E61">
            <v>0.72222222222222221</v>
          </cell>
          <cell r="F61">
            <v>13</v>
          </cell>
          <cell r="G61">
            <v>6</v>
          </cell>
          <cell r="H61">
            <v>4</v>
          </cell>
          <cell r="I61">
            <v>1</v>
          </cell>
          <cell r="J61">
            <v>1</v>
          </cell>
          <cell r="K61">
            <v>19</v>
          </cell>
          <cell r="L61">
            <v>12</v>
          </cell>
          <cell r="M61">
            <v>7</v>
          </cell>
          <cell r="N61">
            <v>73.562940612222221</v>
          </cell>
        </row>
        <row r="62">
          <cell r="D62" t="str">
            <v>Marcel AM</v>
          </cell>
          <cell r="E62">
            <v>0.55555555555555558</v>
          </cell>
          <cell r="F62">
            <v>10</v>
          </cell>
          <cell r="G62">
            <v>6</v>
          </cell>
          <cell r="H62">
            <v>3</v>
          </cell>
          <cell r="I62">
            <v>1</v>
          </cell>
          <cell r="J62">
            <v>2</v>
          </cell>
          <cell r="K62">
            <v>22</v>
          </cell>
          <cell r="L62">
            <v>14</v>
          </cell>
          <cell r="M62">
            <v>8</v>
          </cell>
          <cell r="N62">
            <v>56.586376935555556</v>
          </cell>
        </row>
        <row r="63">
          <cell r="D63" t="str">
            <v>Luiz Coelho SP</v>
          </cell>
          <cell r="E63">
            <v>5.5555555555555552E-2</v>
          </cell>
          <cell r="F63">
            <v>1</v>
          </cell>
          <cell r="G63">
            <v>6</v>
          </cell>
          <cell r="H63">
            <v>0</v>
          </cell>
          <cell r="I63">
            <v>1</v>
          </cell>
          <cell r="J63">
            <v>5</v>
          </cell>
          <cell r="K63">
            <v>6</v>
          </cell>
          <cell r="L63">
            <v>14</v>
          </cell>
          <cell r="M63">
            <v>-8</v>
          </cell>
          <cell r="N63">
            <v>5.6547609255555553</v>
          </cell>
        </row>
        <row r="64">
          <cell r="D64" t="str">
            <v>Gabriel Lisboa PA</v>
          </cell>
          <cell r="E64">
            <v>0.1111111111111111</v>
          </cell>
          <cell r="F64">
            <v>2</v>
          </cell>
          <cell r="G64">
            <v>6</v>
          </cell>
          <cell r="H64">
            <v>0</v>
          </cell>
          <cell r="I64">
            <v>2</v>
          </cell>
          <cell r="J64">
            <v>4</v>
          </cell>
          <cell r="K64">
            <v>2</v>
          </cell>
          <cell r="L64">
            <v>13</v>
          </cell>
          <cell r="M64">
            <v>-11</v>
          </cell>
          <cell r="N64">
            <v>11.31001247111111</v>
          </cell>
        </row>
        <row r="65">
          <cell r="D65" t="str">
            <v>Cléo Jr SP</v>
          </cell>
          <cell r="E65">
            <v>0.27777777777777779</v>
          </cell>
          <cell r="F65">
            <v>5</v>
          </cell>
          <cell r="G65">
            <v>6</v>
          </cell>
          <cell r="H65">
            <v>1</v>
          </cell>
          <cell r="I65">
            <v>2</v>
          </cell>
          <cell r="J65">
            <v>3</v>
          </cell>
          <cell r="K65">
            <v>10</v>
          </cell>
          <cell r="L65">
            <v>13</v>
          </cell>
          <cell r="M65">
            <v>-3</v>
          </cell>
          <cell r="N65">
            <v>28.28748712777778</v>
          </cell>
        </row>
        <row r="66">
          <cell r="D66" t="str">
            <v>Mura SP</v>
          </cell>
          <cell r="E66">
            <v>0.66666666666666663</v>
          </cell>
          <cell r="F66">
            <v>12</v>
          </cell>
          <cell r="G66">
            <v>6</v>
          </cell>
          <cell r="H66">
            <v>4</v>
          </cell>
          <cell r="I66">
            <v>0</v>
          </cell>
          <cell r="J66">
            <v>2</v>
          </cell>
          <cell r="K66">
            <v>9</v>
          </cell>
          <cell r="L66">
            <v>12</v>
          </cell>
          <cell r="M66">
            <v>-3</v>
          </cell>
          <cell r="N66">
            <v>67.906375006666664</v>
          </cell>
        </row>
        <row r="68">
          <cell r="D68" t="str">
            <v>Atletas</v>
          </cell>
          <cell r="E68" t="str">
            <v>%AP</v>
          </cell>
          <cell r="F68" t="str">
            <v>PTS</v>
          </cell>
          <cell r="G68" t="str">
            <v>J</v>
          </cell>
          <cell r="H68" t="str">
            <v>V</v>
          </cell>
          <cell r="I68" t="str">
            <v>E</v>
          </cell>
          <cell r="J68" t="str">
            <v>D</v>
          </cell>
          <cell r="K68" t="str">
            <v>GP</v>
          </cell>
          <cell r="L68" t="str">
            <v>GC</v>
          </cell>
          <cell r="M68" t="str">
            <v>SG</v>
          </cell>
          <cell r="N68" t="str">
            <v>ID</v>
          </cell>
        </row>
        <row r="69">
          <cell r="D69" t="str">
            <v>Capela SC</v>
          </cell>
          <cell r="E69">
            <v>0.3888888888888889</v>
          </cell>
          <cell r="F69">
            <v>7</v>
          </cell>
          <cell r="G69">
            <v>6</v>
          </cell>
          <cell r="H69">
            <v>2</v>
          </cell>
          <cell r="I69">
            <v>1</v>
          </cell>
          <cell r="J69">
            <v>3</v>
          </cell>
          <cell r="K69">
            <v>10</v>
          </cell>
          <cell r="L69">
            <v>18</v>
          </cell>
          <cell r="M69">
            <v>-8</v>
          </cell>
          <cell r="N69">
            <v>39.608098198888889</v>
          </cell>
        </row>
        <row r="70">
          <cell r="D70" t="str">
            <v>Fábio Batista SC</v>
          </cell>
          <cell r="E70">
            <v>0.55555555555555558</v>
          </cell>
          <cell r="F70">
            <v>10</v>
          </cell>
          <cell r="G70">
            <v>6</v>
          </cell>
          <cell r="H70">
            <v>3</v>
          </cell>
          <cell r="I70">
            <v>1</v>
          </cell>
          <cell r="J70">
            <v>2</v>
          </cell>
          <cell r="K70">
            <v>19</v>
          </cell>
          <cell r="L70">
            <v>12</v>
          </cell>
          <cell r="M70">
            <v>7</v>
          </cell>
          <cell r="N70">
            <v>56.586273855555561</v>
          </cell>
        </row>
        <row r="71">
          <cell r="D71" t="str">
            <v>Pablo Martins RJ</v>
          </cell>
          <cell r="E71">
            <v>0.27777777777777779</v>
          </cell>
          <cell r="F71">
            <v>5</v>
          </cell>
          <cell r="G71">
            <v>6</v>
          </cell>
          <cell r="H71">
            <v>1</v>
          </cell>
          <cell r="I71">
            <v>2</v>
          </cell>
          <cell r="J71">
            <v>3</v>
          </cell>
          <cell r="K71">
            <v>10</v>
          </cell>
          <cell r="L71">
            <v>14</v>
          </cell>
          <cell r="M71">
            <v>-4</v>
          </cell>
          <cell r="N71">
            <v>28.287387067777782</v>
          </cell>
        </row>
        <row r="72">
          <cell r="D72" t="str">
            <v>Adriano RJ</v>
          </cell>
          <cell r="E72">
            <v>0.55555555555555558</v>
          </cell>
          <cell r="F72">
            <v>10</v>
          </cell>
          <cell r="G72">
            <v>6</v>
          </cell>
          <cell r="H72">
            <v>3</v>
          </cell>
          <cell r="I72">
            <v>1</v>
          </cell>
          <cell r="J72">
            <v>2</v>
          </cell>
          <cell r="K72">
            <v>20</v>
          </cell>
          <cell r="L72">
            <v>17</v>
          </cell>
          <cell r="M72">
            <v>3</v>
          </cell>
          <cell r="N72">
            <v>56.585874835555558</v>
          </cell>
        </row>
        <row r="73">
          <cell r="D73" t="str">
            <v>Mello RJ</v>
          </cell>
          <cell r="E73">
            <v>0.66666666666666663</v>
          </cell>
          <cell r="F73">
            <v>12</v>
          </cell>
          <cell r="G73">
            <v>6</v>
          </cell>
          <cell r="H73">
            <v>3</v>
          </cell>
          <cell r="I73">
            <v>3</v>
          </cell>
          <cell r="J73">
            <v>0</v>
          </cell>
          <cell r="K73">
            <v>23</v>
          </cell>
          <cell r="L73">
            <v>12</v>
          </cell>
          <cell r="M73">
            <v>11</v>
          </cell>
          <cell r="N73">
            <v>67.897788936666657</v>
          </cell>
        </row>
        <row r="74">
          <cell r="D74" t="str">
            <v>Nine RJ</v>
          </cell>
          <cell r="E74">
            <v>0.61111111111111116</v>
          </cell>
          <cell r="F74">
            <v>11</v>
          </cell>
          <cell r="G74">
            <v>6</v>
          </cell>
          <cell r="H74">
            <v>3</v>
          </cell>
          <cell r="I74">
            <v>2</v>
          </cell>
          <cell r="J74">
            <v>1</v>
          </cell>
          <cell r="K74">
            <v>12</v>
          </cell>
          <cell r="L74">
            <v>12</v>
          </cell>
          <cell r="M74">
            <v>0</v>
          </cell>
          <cell r="N74">
            <v>62.241122371111125</v>
          </cell>
        </row>
        <row r="75">
          <cell r="D75" t="str">
            <v>Justa SP</v>
          </cell>
          <cell r="E75">
            <v>0.16666666666666666</v>
          </cell>
          <cell r="F75">
            <v>3</v>
          </cell>
          <cell r="G75">
            <v>6</v>
          </cell>
          <cell r="H75">
            <v>1</v>
          </cell>
          <cell r="I75">
            <v>0</v>
          </cell>
          <cell r="J75">
            <v>5</v>
          </cell>
          <cell r="K75">
            <v>9</v>
          </cell>
          <cell r="L75">
            <v>18</v>
          </cell>
          <cell r="M75">
            <v>-9</v>
          </cell>
          <cell r="N75">
            <v>16.975774916666662</v>
          </cell>
        </row>
        <row r="77">
          <cell r="D77" t="str">
            <v>Atletas</v>
          </cell>
          <cell r="E77" t="str">
            <v>%AP</v>
          </cell>
          <cell r="F77" t="str">
            <v>PTS</v>
          </cell>
          <cell r="G77" t="str">
            <v>J</v>
          </cell>
          <cell r="H77" t="str">
            <v>V</v>
          </cell>
          <cell r="I77" t="str">
            <v>E</v>
          </cell>
          <cell r="J77" t="str">
            <v>D</v>
          </cell>
          <cell r="K77" t="str">
            <v>GP</v>
          </cell>
          <cell r="L77" t="str">
            <v>GC</v>
          </cell>
          <cell r="M77" t="str">
            <v>SG</v>
          </cell>
          <cell r="N77" t="str">
            <v>ID</v>
          </cell>
        </row>
        <row r="78">
          <cell r="D78" t="str">
            <v>Almo PR</v>
          </cell>
          <cell r="E78">
            <v>0.33333333333333331</v>
          </cell>
          <cell r="F78">
            <v>6</v>
          </cell>
          <cell r="G78">
            <v>6</v>
          </cell>
          <cell r="H78">
            <v>2</v>
          </cell>
          <cell r="I78">
            <v>0</v>
          </cell>
          <cell r="J78">
            <v>4</v>
          </cell>
          <cell r="K78">
            <v>13</v>
          </cell>
          <cell r="L78">
            <v>17</v>
          </cell>
          <cell r="M78">
            <v>-4</v>
          </cell>
          <cell r="N78">
            <v>33.952945553333329</v>
          </cell>
        </row>
        <row r="79">
          <cell r="D79" t="str">
            <v>João Carlos RJ</v>
          </cell>
          <cell r="E79">
            <v>0.33333333333333331</v>
          </cell>
          <cell r="F79">
            <v>6</v>
          </cell>
          <cell r="G79">
            <v>6</v>
          </cell>
          <cell r="H79">
            <v>2</v>
          </cell>
          <cell r="I79">
            <v>0</v>
          </cell>
          <cell r="J79">
            <v>4</v>
          </cell>
          <cell r="K79">
            <v>14</v>
          </cell>
          <cell r="L79">
            <v>19</v>
          </cell>
          <cell r="M79">
            <v>-5</v>
          </cell>
          <cell r="N79">
            <v>33.95284654333333</v>
          </cell>
        </row>
        <row r="80">
          <cell r="D80" t="str">
            <v>Lian MG</v>
          </cell>
          <cell r="E80">
            <v>0.22222222222222221</v>
          </cell>
          <cell r="F80">
            <v>4</v>
          </cell>
          <cell r="G80">
            <v>6</v>
          </cell>
          <cell r="H80">
            <v>1</v>
          </cell>
          <cell r="I80">
            <v>1</v>
          </cell>
          <cell r="J80">
            <v>4</v>
          </cell>
          <cell r="K80">
            <v>11</v>
          </cell>
          <cell r="L80">
            <v>11</v>
          </cell>
          <cell r="M80">
            <v>0</v>
          </cell>
          <cell r="N80">
            <v>22.63223242222222</v>
          </cell>
        </row>
        <row r="81">
          <cell r="D81" t="str">
            <v>André Amorim SC</v>
          </cell>
          <cell r="E81">
            <v>0.44444444444444442</v>
          </cell>
          <cell r="F81">
            <v>8</v>
          </cell>
          <cell r="G81">
            <v>6</v>
          </cell>
          <cell r="H81">
            <v>2</v>
          </cell>
          <cell r="I81">
            <v>2</v>
          </cell>
          <cell r="J81">
            <v>2</v>
          </cell>
          <cell r="K81">
            <v>14</v>
          </cell>
          <cell r="L81">
            <v>14</v>
          </cell>
          <cell r="M81">
            <v>0</v>
          </cell>
          <cell r="N81">
            <v>45.26445763444444</v>
          </cell>
        </row>
        <row r="82">
          <cell r="D82" t="str">
            <v>Roberto Giolo MS</v>
          </cell>
          <cell r="E82">
            <v>0.33333333333333331</v>
          </cell>
          <cell r="F82">
            <v>6</v>
          </cell>
          <cell r="G82">
            <v>6</v>
          </cell>
          <cell r="H82">
            <v>2</v>
          </cell>
          <cell r="I82">
            <v>0</v>
          </cell>
          <cell r="J82">
            <v>4</v>
          </cell>
          <cell r="K82">
            <v>9</v>
          </cell>
          <cell r="L82">
            <v>12</v>
          </cell>
          <cell r="M82">
            <v>-3</v>
          </cell>
          <cell r="N82">
            <v>33.953041513333332</v>
          </cell>
        </row>
        <row r="83">
          <cell r="D83" t="str">
            <v>Belga RJ</v>
          </cell>
          <cell r="E83">
            <v>0.88888888888888884</v>
          </cell>
          <cell r="F83">
            <v>16</v>
          </cell>
          <cell r="G83">
            <v>6</v>
          </cell>
          <cell r="H83">
            <v>5</v>
          </cell>
          <cell r="I83">
            <v>1</v>
          </cell>
          <cell r="J83">
            <v>0</v>
          </cell>
          <cell r="K83">
            <v>15</v>
          </cell>
          <cell r="L83">
            <v>8</v>
          </cell>
          <cell r="M83">
            <v>7</v>
          </cell>
          <cell r="N83">
            <v>90.539603058888872</v>
          </cell>
        </row>
        <row r="84">
          <cell r="D84" t="str">
            <v>Malvar RJ</v>
          </cell>
          <cell r="E84">
            <v>0.83333333333333337</v>
          </cell>
          <cell r="F84">
            <v>15</v>
          </cell>
          <cell r="G84">
            <v>6</v>
          </cell>
          <cell r="H84">
            <v>5</v>
          </cell>
          <cell r="I84">
            <v>0</v>
          </cell>
          <cell r="J84">
            <v>1</v>
          </cell>
          <cell r="K84">
            <v>15</v>
          </cell>
          <cell r="L84">
            <v>10</v>
          </cell>
          <cell r="M84">
            <v>5</v>
          </cell>
          <cell r="N84">
            <v>84.883847493333349</v>
          </cell>
        </row>
        <row r="86">
          <cell r="D86" t="str">
            <v>Atletas</v>
          </cell>
          <cell r="E86" t="str">
            <v>%AP</v>
          </cell>
          <cell r="F86" t="str">
            <v>PTS</v>
          </cell>
          <cell r="G86" t="str">
            <v>J</v>
          </cell>
          <cell r="H86" t="str">
            <v>V</v>
          </cell>
          <cell r="I86" t="str">
            <v>E</v>
          </cell>
          <cell r="J86" t="str">
            <v>D</v>
          </cell>
          <cell r="K86" t="str">
            <v>GP</v>
          </cell>
          <cell r="L86" t="str">
            <v>GC</v>
          </cell>
          <cell r="M86" t="str">
            <v>SG</v>
          </cell>
          <cell r="N86" t="str">
            <v>ID</v>
          </cell>
        </row>
        <row r="87">
          <cell r="D87" t="str">
            <v>Claudio Jr MG</v>
          </cell>
          <cell r="E87">
            <v>0.44444444444444442</v>
          </cell>
          <cell r="F87">
            <v>8</v>
          </cell>
          <cell r="G87">
            <v>6</v>
          </cell>
          <cell r="H87">
            <v>2</v>
          </cell>
          <cell r="I87">
            <v>2</v>
          </cell>
          <cell r="J87">
            <v>2</v>
          </cell>
          <cell r="K87">
            <v>16</v>
          </cell>
          <cell r="L87">
            <v>14</v>
          </cell>
          <cell r="M87">
            <v>2</v>
          </cell>
          <cell r="N87">
            <v>45.264659574444437</v>
          </cell>
        </row>
        <row r="88">
          <cell r="D88" t="str">
            <v>Wellington RJ</v>
          </cell>
          <cell r="E88">
            <v>0.5</v>
          </cell>
          <cell r="F88">
            <v>9</v>
          </cell>
          <cell r="G88">
            <v>6</v>
          </cell>
          <cell r="H88">
            <v>3</v>
          </cell>
          <cell r="I88">
            <v>0</v>
          </cell>
          <cell r="J88">
            <v>3</v>
          </cell>
          <cell r="K88">
            <v>18</v>
          </cell>
          <cell r="L88">
            <v>16</v>
          </cell>
          <cell r="M88">
            <v>2</v>
          </cell>
          <cell r="N88">
            <v>50.930217120000002</v>
          </cell>
        </row>
        <row r="89">
          <cell r="D89" t="str">
            <v>Gustavo Burgos PR</v>
          </cell>
          <cell r="E89">
            <v>0.66666666666666663</v>
          </cell>
          <cell r="F89">
            <v>12</v>
          </cell>
          <cell r="G89">
            <v>6</v>
          </cell>
          <cell r="H89">
            <v>4</v>
          </cell>
          <cell r="I89">
            <v>0</v>
          </cell>
          <cell r="J89">
            <v>2</v>
          </cell>
          <cell r="K89">
            <v>12</v>
          </cell>
          <cell r="L89">
            <v>12</v>
          </cell>
          <cell r="M89">
            <v>0</v>
          </cell>
          <cell r="N89">
            <v>67.906677776666655</v>
          </cell>
        </row>
        <row r="90">
          <cell r="D90" t="str">
            <v>Diogo SP</v>
          </cell>
          <cell r="E90">
            <v>0.27777777777777779</v>
          </cell>
          <cell r="F90">
            <v>5</v>
          </cell>
          <cell r="G90">
            <v>6</v>
          </cell>
          <cell r="H90">
            <v>1</v>
          </cell>
          <cell r="I90">
            <v>2</v>
          </cell>
          <cell r="J90">
            <v>3</v>
          </cell>
          <cell r="K90">
            <v>11</v>
          </cell>
          <cell r="L90">
            <v>15</v>
          </cell>
          <cell r="M90">
            <v>-4</v>
          </cell>
          <cell r="N90">
            <v>28.287387877777778</v>
          </cell>
        </row>
        <row r="91">
          <cell r="D91" t="str">
            <v>Diego Cortinhas RJ</v>
          </cell>
          <cell r="E91">
            <v>0.61111111111111116</v>
          </cell>
          <cell r="F91">
            <v>11</v>
          </cell>
          <cell r="G91">
            <v>6</v>
          </cell>
          <cell r="H91">
            <v>3</v>
          </cell>
          <cell r="I91">
            <v>2</v>
          </cell>
          <cell r="J91">
            <v>1</v>
          </cell>
          <cell r="K91">
            <v>13</v>
          </cell>
          <cell r="L91">
            <v>8</v>
          </cell>
          <cell r="M91">
            <v>5</v>
          </cell>
          <cell r="N91">
            <v>62.241623201111125</v>
          </cell>
        </row>
        <row r="92">
          <cell r="D92" t="str">
            <v>André Araújo AM</v>
          </cell>
          <cell r="E92">
            <v>0.3888888888888889</v>
          </cell>
          <cell r="F92">
            <v>7</v>
          </cell>
          <cell r="G92">
            <v>6</v>
          </cell>
          <cell r="H92">
            <v>2</v>
          </cell>
          <cell r="I92">
            <v>1</v>
          </cell>
          <cell r="J92">
            <v>3</v>
          </cell>
          <cell r="K92">
            <v>9</v>
          </cell>
          <cell r="L92">
            <v>12</v>
          </cell>
          <cell r="M92">
            <v>-3</v>
          </cell>
          <cell r="N92">
            <v>39.608596968888889</v>
          </cell>
        </row>
        <row r="93">
          <cell r="D93" t="str">
            <v>João Marcelo MG</v>
          </cell>
          <cell r="E93">
            <v>0.33333333333333331</v>
          </cell>
          <cell r="F93">
            <v>6</v>
          </cell>
          <cell r="G93">
            <v>6</v>
          </cell>
          <cell r="H93">
            <v>1</v>
          </cell>
          <cell r="I93">
            <v>3</v>
          </cell>
          <cell r="J93">
            <v>2</v>
          </cell>
          <cell r="K93">
            <v>13</v>
          </cell>
          <cell r="L93">
            <v>15</v>
          </cell>
          <cell r="M93">
            <v>-2</v>
          </cell>
          <cell r="N93">
            <v>33.943145403333332</v>
          </cell>
        </row>
        <row r="95">
          <cell r="D95" t="str">
            <v>Atletas</v>
          </cell>
          <cell r="E95" t="str">
            <v>%AP</v>
          </cell>
          <cell r="F95" t="str">
            <v>PTS</v>
          </cell>
          <cell r="G95" t="str">
            <v>J</v>
          </cell>
          <cell r="H95" t="str">
            <v>V</v>
          </cell>
          <cell r="I95" t="str">
            <v>E</v>
          </cell>
          <cell r="J95" t="str">
            <v>D</v>
          </cell>
          <cell r="K95" t="str">
            <v>GP</v>
          </cell>
          <cell r="L95" t="str">
            <v>GC</v>
          </cell>
          <cell r="M95" t="str">
            <v>SG</v>
          </cell>
          <cell r="N95" t="str">
            <v>ID</v>
          </cell>
        </row>
        <row r="96">
          <cell r="D96" t="str">
            <v>Elsio SP</v>
          </cell>
          <cell r="E96">
            <v>0.3888888888888889</v>
          </cell>
          <cell r="F96">
            <v>7</v>
          </cell>
          <cell r="G96">
            <v>6</v>
          </cell>
          <cell r="H96">
            <v>2</v>
          </cell>
          <cell r="I96">
            <v>1</v>
          </cell>
          <cell r="J96">
            <v>3</v>
          </cell>
          <cell r="K96">
            <v>11</v>
          </cell>
          <cell r="L96">
            <v>13</v>
          </cell>
          <cell r="M96">
            <v>-2</v>
          </cell>
          <cell r="N96">
            <v>39.608698928888884</v>
          </cell>
        </row>
        <row r="97">
          <cell r="D97" t="str">
            <v>Régis Martins RJ</v>
          </cell>
          <cell r="E97">
            <v>0.72222222222222221</v>
          </cell>
          <cell r="F97">
            <v>13</v>
          </cell>
          <cell r="G97">
            <v>6</v>
          </cell>
          <cell r="H97">
            <v>4</v>
          </cell>
          <cell r="I97">
            <v>1</v>
          </cell>
          <cell r="J97">
            <v>1</v>
          </cell>
          <cell r="K97">
            <v>18</v>
          </cell>
          <cell r="L97">
            <v>9</v>
          </cell>
          <cell r="M97">
            <v>9</v>
          </cell>
          <cell r="N97">
            <v>73.563139252222228</v>
          </cell>
        </row>
        <row r="98">
          <cell r="D98" t="str">
            <v>JJota RJ</v>
          </cell>
          <cell r="E98">
            <v>0.55555555555555558</v>
          </cell>
          <cell r="F98">
            <v>10</v>
          </cell>
          <cell r="G98">
            <v>6</v>
          </cell>
          <cell r="H98">
            <v>3</v>
          </cell>
          <cell r="I98">
            <v>1</v>
          </cell>
          <cell r="J98">
            <v>2</v>
          </cell>
          <cell r="K98">
            <v>11</v>
          </cell>
          <cell r="L98">
            <v>9</v>
          </cell>
          <cell r="M98">
            <v>2</v>
          </cell>
          <cell r="N98">
            <v>56.585765575555556</v>
          </cell>
        </row>
        <row r="99">
          <cell r="D99" t="str">
            <v>Tavares RJ</v>
          </cell>
          <cell r="E99">
            <v>0.22222222222222221</v>
          </cell>
          <cell r="F99">
            <v>4</v>
          </cell>
          <cell r="G99">
            <v>6</v>
          </cell>
          <cell r="H99">
            <v>0</v>
          </cell>
          <cell r="I99">
            <v>4</v>
          </cell>
          <cell r="J99">
            <v>2</v>
          </cell>
          <cell r="K99">
            <v>6</v>
          </cell>
          <cell r="L99">
            <v>10</v>
          </cell>
          <cell r="M99">
            <v>-4</v>
          </cell>
          <cell r="N99">
            <v>22.62182723222222</v>
          </cell>
        </row>
        <row r="100">
          <cell r="D100" t="str">
            <v>João Eduardo RJ</v>
          </cell>
          <cell r="E100">
            <v>0.5</v>
          </cell>
          <cell r="F100">
            <v>9</v>
          </cell>
          <cell r="G100">
            <v>6</v>
          </cell>
          <cell r="H100">
            <v>3</v>
          </cell>
          <cell r="I100">
            <v>0</v>
          </cell>
          <cell r="J100">
            <v>3</v>
          </cell>
          <cell r="K100">
            <v>10</v>
          </cell>
          <cell r="L100">
            <v>10</v>
          </cell>
          <cell r="M100">
            <v>0</v>
          </cell>
          <cell r="N100">
            <v>50.930009000000005</v>
          </cell>
        </row>
        <row r="101">
          <cell r="D101" t="str">
            <v>William Isaias MS</v>
          </cell>
          <cell r="E101">
            <v>0.66666666666666663</v>
          </cell>
          <cell r="F101">
            <v>12</v>
          </cell>
          <cell r="G101">
            <v>6</v>
          </cell>
          <cell r="H101">
            <v>4</v>
          </cell>
          <cell r="I101">
            <v>0</v>
          </cell>
          <cell r="J101">
            <v>2</v>
          </cell>
          <cell r="K101">
            <v>16</v>
          </cell>
          <cell r="L101">
            <v>13</v>
          </cell>
          <cell r="M101">
            <v>3</v>
          </cell>
          <cell r="N101">
            <v>67.906981656666645</v>
          </cell>
        </row>
        <row r="102">
          <cell r="D102" t="str">
            <v>Afonso SP</v>
          </cell>
          <cell r="E102">
            <v>0.22222222222222221</v>
          </cell>
          <cell r="F102">
            <v>4</v>
          </cell>
          <cell r="G102">
            <v>6</v>
          </cell>
          <cell r="H102">
            <v>1</v>
          </cell>
          <cell r="I102">
            <v>1</v>
          </cell>
          <cell r="J102">
            <v>4</v>
          </cell>
          <cell r="K102">
            <v>5</v>
          </cell>
          <cell r="L102">
            <v>13</v>
          </cell>
          <cell r="M102">
            <v>-8</v>
          </cell>
          <cell r="N102">
            <v>22.631426202222222</v>
          </cell>
        </row>
        <row r="104">
          <cell r="D104" t="str">
            <v>Atletas</v>
          </cell>
          <cell r="E104" t="str">
            <v>%AP</v>
          </cell>
          <cell r="F104" t="str">
            <v>PTS</v>
          </cell>
          <cell r="G104" t="str">
            <v>J</v>
          </cell>
          <cell r="H104" t="str">
            <v>V</v>
          </cell>
          <cell r="I104" t="str">
            <v>E</v>
          </cell>
          <cell r="J104" t="str">
            <v>D</v>
          </cell>
          <cell r="K104" t="str">
            <v>GP</v>
          </cell>
          <cell r="L104" t="str">
            <v>GC</v>
          </cell>
          <cell r="M104" t="str">
            <v>SG</v>
          </cell>
          <cell r="N104" t="str">
            <v>ID</v>
          </cell>
        </row>
        <row r="105">
          <cell r="D105" t="str">
            <v>Brayner RJ</v>
          </cell>
          <cell r="E105">
            <v>0.83333333333333337</v>
          </cell>
          <cell r="F105">
            <v>15</v>
          </cell>
          <cell r="G105">
            <v>6</v>
          </cell>
          <cell r="H105">
            <v>5</v>
          </cell>
          <cell r="I105">
            <v>0</v>
          </cell>
          <cell r="J105">
            <v>1</v>
          </cell>
          <cell r="K105">
            <v>20</v>
          </cell>
          <cell r="L105">
            <v>11</v>
          </cell>
          <cell r="M105">
            <v>9</v>
          </cell>
          <cell r="N105">
            <v>84.884252283333353</v>
          </cell>
        </row>
        <row r="106">
          <cell r="D106" t="str">
            <v>Kaka RJ</v>
          </cell>
          <cell r="E106">
            <v>0.3888888888888889</v>
          </cell>
          <cell r="F106">
            <v>7</v>
          </cell>
          <cell r="G106">
            <v>6</v>
          </cell>
          <cell r="H106">
            <v>2</v>
          </cell>
          <cell r="I106">
            <v>1</v>
          </cell>
          <cell r="J106">
            <v>3</v>
          </cell>
          <cell r="K106">
            <v>10</v>
          </cell>
          <cell r="L106">
            <v>15</v>
          </cell>
          <cell r="M106">
            <v>-5</v>
          </cell>
          <cell r="N106">
            <v>39.608397828888883</v>
          </cell>
        </row>
        <row r="107">
          <cell r="D107" t="str">
            <v>Rafael Flor RS</v>
          </cell>
          <cell r="E107">
            <v>0.5</v>
          </cell>
          <cell r="F107">
            <v>9</v>
          </cell>
          <cell r="G107">
            <v>6</v>
          </cell>
          <cell r="H107">
            <v>3</v>
          </cell>
          <cell r="I107">
            <v>0</v>
          </cell>
          <cell r="J107">
            <v>3</v>
          </cell>
          <cell r="K107">
            <v>9</v>
          </cell>
          <cell r="L107">
            <v>12</v>
          </cell>
          <cell r="M107">
            <v>-3</v>
          </cell>
          <cell r="N107">
            <v>50.929707929999999</v>
          </cell>
        </row>
        <row r="108">
          <cell r="D108" t="str">
            <v>Wallace RJ</v>
          </cell>
          <cell r="E108">
            <v>0.5</v>
          </cell>
          <cell r="F108">
            <v>9</v>
          </cell>
          <cell r="G108">
            <v>6</v>
          </cell>
          <cell r="H108">
            <v>3</v>
          </cell>
          <cell r="I108">
            <v>0</v>
          </cell>
          <cell r="J108">
            <v>3</v>
          </cell>
          <cell r="K108">
            <v>15</v>
          </cell>
          <cell r="L108">
            <v>14</v>
          </cell>
          <cell r="M108">
            <v>1</v>
          </cell>
          <cell r="N108">
            <v>50.930113920000004</v>
          </cell>
        </row>
        <row r="109">
          <cell r="D109" t="str">
            <v>Dudu RJ</v>
          </cell>
          <cell r="E109">
            <v>0.33333333333333331</v>
          </cell>
          <cell r="F109">
            <v>6</v>
          </cell>
          <cell r="G109">
            <v>6</v>
          </cell>
          <cell r="H109">
            <v>2</v>
          </cell>
          <cell r="I109">
            <v>0</v>
          </cell>
          <cell r="J109">
            <v>4</v>
          </cell>
          <cell r="K109">
            <v>10</v>
          </cell>
          <cell r="L109">
            <v>13</v>
          </cell>
          <cell r="M109">
            <v>-3</v>
          </cell>
          <cell r="N109">
            <v>33.953042243333329</v>
          </cell>
        </row>
        <row r="110">
          <cell r="D110" t="str">
            <v>João Cesar RJ</v>
          </cell>
          <cell r="E110">
            <v>0.66666666666666663</v>
          </cell>
          <cell r="F110">
            <v>12</v>
          </cell>
          <cell r="G110">
            <v>6</v>
          </cell>
          <cell r="H110">
            <v>4</v>
          </cell>
          <cell r="I110">
            <v>0</v>
          </cell>
          <cell r="J110">
            <v>2</v>
          </cell>
          <cell r="K110">
            <v>22</v>
          </cell>
          <cell r="L110">
            <v>12</v>
          </cell>
          <cell r="M110">
            <v>10</v>
          </cell>
          <cell r="N110">
            <v>67.907687566666652</v>
          </cell>
        </row>
        <row r="111">
          <cell r="D111" t="str">
            <v>Rogério MG</v>
          </cell>
          <cell r="E111">
            <v>0.22222222222222221</v>
          </cell>
          <cell r="F111">
            <v>4</v>
          </cell>
          <cell r="G111">
            <v>6</v>
          </cell>
          <cell r="H111">
            <v>1</v>
          </cell>
          <cell r="I111">
            <v>1</v>
          </cell>
          <cell r="J111">
            <v>4</v>
          </cell>
          <cell r="K111">
            <v>9</v>
          </cell>
          <cell r="L111">
            <v>18</v>
          </cell>
          <cell r="M111">
            <v>-9</v>
          </cell>
          <cell r="N111">
            <v>22.631330112222219</v>
          </cell>
        </row>
      </sheetData>
      <sheetData sheetId="4" refreshError="1"/>
      <sheetData sheetId="5">
        <row r="4">
          <cell r="A4">
            <v>1</v>
          </cell>
          <cell r="D4">
            <v>43</v>
          </cell>
          <cell r="E4" t="str">
            <v>43º</v>
          </cell>
          <cell r="F4" t="str">
            <v>Gabriel RJ</v>
          </cell>
        </row>
        <row r="5">
          <cell r="D5">
            <v>44</v>
          </cell>
          <cell r="E5" t="str">
            <v>44º</v>
          </cell>
          <cell r="F5" t="str">
            <v>Marcelinho RJ</v>
          </cell>
        </row>
        <row r="6">
          <cell r="D6">
            <v>45</v>
          </cell>
          <cell r="E6" t="str">
            <v>45º</v>
          </cell>
          <cell r="F6" t="str">
            <v>Claudio Jr MG</v>
          </cell>
        </row>
        <row r="7">
          <cell r="D7">
            <v>46</v>
          </cell>
          <cell r="E7" t="str">
            <v>46º</v>
          </cell>
          <cell r="F7" t="str">
            <v>João Paulo MG</v>
          </cell>
        </row>
        <row r="8">
          <cell r="D8">
            <v>47</v>
          </cell>
          <cell r="E8" t="str">
            <v>47º</v>
          </cell>
          <cell r="F8" t="str">
            <v>Alex Lage MG</v>
          </cell>
        </row>
        <row r="9">
          <cell r="D9">
            <v>48</v>
          </cell>
          <cell r="E9" t="str">
            <v>48º</v>
          </cell>
          <cell r="F9" t="str">
            <v>Willow SP</v>
          </cell>
        </row>
        <row r="10">
          <cell r="D10">
            <v>49</v>
          </cell>
          <cell r="E10" t="str">
            <v>49º</v>
          </cell>
          <cell r="F10" t="str">
            <v>Elsio SP</v>
          </cell>
        </row>
        <row r="11">
          <cell r="D11">
            <v>50</v>
          </cell>
          <cell r="E11" t="str">
            <v>50º</v>
          </cell>
          <cell r="F11" t="str">
            <v>André Araújo AM</v>
          </cell>
        </row>
        <row r="12">
          <cell r="D12">
            <v>51</v>
          </cell>
          <cell r="E12" t="str">
            <v>51º</v>
          </cell>
          <cell r="F12" t="str">
            <v>Alysson RJ</v>
          </cell>
        </row>
        <row r="13">
          <cell r="D13">
            <v>52</v>
          </cell>
          <cell r="E13" t="str">
            <v>52º</v>
          </cell>
          <cell r="F13" t="str">
            <v>Kaka RJ</v>
          </cell>
        </row>
        <row r="14">
          <cell r="D14">
            <v>53</v>
          </cell>
          <cell r="E14" t="str">
            <v>53º</v>
          </cell>
          <cell r="F14" t="str">
            <v>Capela SC</v>
          </cell>
        </row>
        <row r="15">
          <cell r="D15">
            <v>54</v>
          </cell>
          <cell r="E15" t="str">
            <v>54º</v>
          </cell>
          <cell r="F15" t="str">
            <v>Mário Bürguel RS</v>
          </cell>
        </row>
        <row r="16">
          <cell r="D16">
            <v>55</v>
          </cell>
          <cell r="E16" t="str">
            <v>55º</v>
          </cell>
          <cell r="F16" t="str">
            <v>Dudu RJ</v>
          </cell>
        </row>
        <row r="17">
          <cell r="D17">
            <v>56</v>
          </cell>
          <cell r="E17" t="str">
            <v>56º</v>
          </cell>
          <cell r="F17" t="str">
            <v>Roberto Giolo MS</v>
          </cell>
        </row>
        <row r="18">
          <cell r="D18">
            <v>57</v>
          </cell>
          <cell r="E18" t="str">
            <v>57º</v>
          </cell>
          <cell r="F18" t="str">
            <v>Almo PR</v>
          </cell>
        </row>
        <row r="19">
          <cell r="D19">
            <v>58</v>
          </cell>
          <cell r="E19" t="str">
            <v>58º</v>
          </cell>
          <cell r="F19" t="str">
            <v>Marcelo Baceiredo MG</v>
          </cell>
        </row>
        <row r="20">
          <cell r="D20">
            <v>59</v>
          </cell>
          <cell r="E20" t="str">
            <v>59º</v>
          </cell>
          <cell r="F20" t="str">
            <v>João Carlos RJ</v>
          </cell>
        </row>
        <row r="21">
          <cell r="D21">
            <v>60</v>
          </cell>
          <cell r="E21" t="str">
            <v>60º</v>
          </cell>
          <cell r="F21" t="str">
            <v>João Marcelo MG</v>
          </cell>
        </row>
        <row r="22">
          <cell r="D22">
            <v>61</v>
          </cell>
          <cell r="E22" t="str">
            <v>61º</v>
          </cell>
          <cell r="F22" t="str">
            <v>Vitor Luiz</v>
          </cell>
        </row>
        <row r="23">
          <cell r="D23">
            <v>62</v>
          </cell>
          <cell r="E23" t="str">
            <v>62º</v>
          </cell>
          <cell r="F23" t="str">
            <v>Vinicius Rolim RJ</v>
          </cell>
        </row>
        <row r="24">
          <cell r="D24">
            <v>63</v>
          </cell>
          <cell r="E24" t="str">
            <v>63º</v>
          </cell>
          <cell r="F24" t="str">
            <v>Renato Souza MG</v>
          </cell>
        </row>
        <row r="25">
          <cell r="D25">
            <v>64</v>
          </cell>
          <cell r="E25" t="str">
            <v>64º</v>
          </cell>
          <cell r="F25" t="str">
            <v>Cléo Jr SP</v>
          </cell>
        </row>
        <row r="26">
          <cell r="D26">
            <v>65</v>
          </cell>
          <cell r="E26" t="str">
            <v>65º</v>
          </cell>
          <cell r="F26" t="str">
            <v>Diogo SP</v>
          </cell>
        </row>
        <row r="27">
          <cell r="D27">
            <v>66</v>
          </cell>
          <cell r="E27" t="str">
            <v>66º</v>
          </cell>
          <cell r="F27" t="str">
            <v>Pablo Martins RJ</v>
          </cell>
        </row>
        <row r="28">
          <cell r="D28">
            <v>67</v>
          </cell>
          <cell r="E28" t="str">
            <v>67º</v>
          </cell>
          <cell r="F28" t="str">
            <v>Thiago Matoso RJ</v>
          </cell>
        </row>
        <row r="29">
          <cell r="D29">
            <v>68</v>
          </cell>
          <cell r="E29" t="str">
            <v>68º</v>
          </cell>
          <cell r="F29" t="str">
            <v>Lian MG</v>
          </cell>
        </row>
        <row r="30">
          <cell r="D30">
            <v>69</v>
          </cell>
          <cell r="E30" t="str">
            <v>69º</v>
          </cell>
          <cell r="F30" t="str">
            <v>Afonso SP</v>
          </cell>
        </row>
        <row r="31">
          <cell r="D31">
            <v>70</v>
          </cell>
          <cell r="E31" t="str">
            <v>70º</v>
          </cell>
          <cell r="F31" t="str">
            <v>Israel RJ</v>
          </cell>
        </row>
        <row r="32">
          <cell r="D32">
            <v>71</v>
          </cell>
          <cell r="E32" t="str">
            <v>71º</v>
          </cell>
          <cell r="F32" t="str">
            <v>Rogério MG</v>
          </cell>
        </row>
        <row r="33">
          <cell r="D33">
            <v>72</v>
          </cell>
          <cell r="E33" t="str">
            <v>72º</v>
          </cell>
          <cell r="F33" t="str">
            <v>Marcelo Aranha SP</v>
          </cell>
        </row>
        <row r="34">
          <cell r="D34">
            <v>73</v>
          </cell>
          <cell r="E34" t="str">
            <v>73º</v>
          </cell>
          <cell r="F34" t="str">
            <v>Tavares RJ</v>
          </cell>
        </row>
        <row r="35">
          <cell r="D35">
            <v>74</v>
          </cell>
          <cell r="E35" t="str">
            <v>74º</v>
          </cell>
          <cell r="F35" t="str">
            <v>Eduardo Rocha RJ</v>
          </cell>
        </row>
        <row r="36">
          <cell r="D36">
            <v>75</v>
          </cell>
          <cell r="E36" t="str">
            <v>75º</v>
          </cell>
          <cell r="F36" t="str">
            <v>Tabajara SP</v>
          </cell>
        </row>
        <row r="37">
          <cell r="D37">
            <v>76</v>
          </cell>
          <cell r="E37" t="str">
            <v>76º</v>
          </cell>
          <cell r="F37" t="str">
            <v>Justa SP</v>
          </cell>
        </row>
        <row r="38">
          <cell r="D38">
            <v>77</v>
          </cell>
          <cell r="E38" t="str">
            <v>77º</v>
          </cell>
          <cell r="F38" t="str">
            <v>Eduardo Massa MG</v>
          </cell>
        </row>
        <row r="39">
          <cell r="D39">
            <v>78</v>
          </cell>
          <cell r="E39" t="str">
            <v>78º</v>
          </cell>
          <cell r="F39" t="str">
            <v>Rogelson PR</v>
          </cell>
        </row>
        <row r="40">
          <cell r="D40">
            <v>79</v>
          </cell>
          <cell r="E40" t="str">
            <v>79º</v>
          </cell>
          <cell r="F40" t="str">
            <v>Gabriel Lisboa PA</v>
          </cell>
        </row>
        <row r="41">
          <cell r="D41">
            <v>80</v>
          </cell>
          <cell r="E41" t="str">
            <v>80º</v>
          </cell>
          <cell r="F41" t="str">
            <v>Ronaldo Eifler RS</v>
          </cell>
        </row>
        <row r="42">
          <cell r="D42">
            <v>81</v>
          </cell>
          <cell r="E42" t="str">
            <v>81º</v>
          </cell>
          <cell r="F42" t="str">
            <v>Luiz Coelho SP</v>
          </cell>
        </row>
        <row r="43">
          <cell r="D43">
            <v>82</v>
          </cell>
          <cell r="E43" t="str">
            <v>82º</v>
          </cell>
          <cell r="F43" t="str">
            <v>Claudio Mastrangelo RS</v>
          </cell>
        </row>
        <row r="44">
          <cell r="D44">
            <v>83</v>
          </cell>
          <cell r="E44" t="str">
            <v>83º</v>
          </cell>
          <cell r="F44" t="str">
            <v>Curvelo RJ</v>
          </cell>
        </row>
        <row r="45">
          <cell r="D45">
            <v>84</v>
          </cell>
          <cell r="E45" t="str">
            <v>84º</v>
          </cell>
          <cell r="F45" t="str">
            <v>Bergamini SP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es"/>
      <sheetName val="Grupos"/>
      <sheetName val="Jogos"/>
      <sheetName val="ClassGrupFases"/>
      <sheetName val="Classificação"/>
      <sheetName val="Classificação 1ª Fase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Rafael Marques RJ</v>
          </cell>
          <cell r="E6">
            <v>0.44444444444444442</v>
          </cell>
          <cell r="F6">
            <v>8</v>
          </cell>
          <cell r="G6">
            <v>6</v>
          </cell>
          <cell r="H6">
            <v>2</v>
          </cell>
          <cell r="I6">
            <v>2</v>
          </cell>
          <cell r="J6">
            <v>2</v>
          </cell>
          <cell r="K6">
            <v>8</v>
          </cell>
          <cell r="L6">
            <v>9</v>
          </cell>
          <cell r="M6">
            <v>-1</v>
          </cell>
          <cell r="N6">
            <v>45.264352384444443</v>
          </cell>
        </row>
        <row r="7">
          <cell r="D7" t="str">
            <v>Eduardo Massa MG</v>
          </cell>
          <cell r="E7">
            <v>0.55555555555555558</v>
          </cell>
          <cell r="F7">
            <v>10</v>
          </cell>
          <cell r="G7">
            <v>6</v>
          </cell>
          <cell r="H7">
            <v>3</v>
          </cell>
          <cell r="I7">
            <v>1</v>
          </cell>
          <cell r="J7">
            <v>2</v>
          </cell>
          <cell r="K7">
            <v>19</v>
          </cell>
          <cell r="L7">
            <v>15</v>
          </cell>
          <cell r="M7">
            <v>4</v>
          </cell>
          <cell r="N7">
            <v>56.58597448555556</v>
          </cell>
        </row>
        <row r="8">
          <cell r="D8" t="str">
            <v>Armando Monteiro MS</v>
          </cell>
          <cell r="E8">
            <v>0.22222222222222221</v>
          </cell>
          <cell r="F8">
            <v>4</v>
          </cell>
          <cell r="G8">
            <v>6</v>
          </cell>
          <cell r="H8">
            <v>1</v>
          </cell>
          <cell r="I8">
            <v>1</v>
          </cell>
          <cell r="J8">
            <v>4</v>
          </cell>
          <cell r="K8">
            <v>3</v>
          </cell>
          <cell r="L8">
            <v>13</v>
          </cell>
          <cell r="M8">
            <v>-10</v>
          </cell>
          <cell r="N8">
            <v>22.63122514222222</v>
          </cell>
        </row>
        <row r="9">
          <cell r="D9" t="str">
            <v>Rodrigo Macieira RJ</v>
          </cell>
          <cell r="E9">
            <v>0.77777777777777779</v>
          </cell>
          <cell r="F9">
            <v>14</v>
          </cell>
          <cell r="G9">
            <v>6</v>
          </cell>
          <cell r="H9">
            <v>4</v>
          </cell>
          <cell r="I9">
            <v>2</v>
          </cell>
          <cell r="J9">
            <v>0</v>
          </cell>
          <cell r="K9">
            <v>21</v>
          </cell>
          <cell r="L9">
            <v>11</v>
          </cell>
          <cell r="M9">
            <v>10</v>
          </cell>
          <cell r="N9">
            <v>79.218798687777777</v>
          </cell>
        </row>
        <row r="10">
          <cell r="D10" t="str">
            <v>Ruas SP</v>
          </cell>
          <cell r="E10">
            <v>0.27777777777777779</v>
          </cell>
          <cell r="F10">
            <v>5</v>
          </cell>
          <cell r="G10">
            <v>6</v>
          </cell>
          <cell r="H10">
            <v>1</v>
          </cell>
          <cell r="I10">
            <v>2</v>
          </cell>
          <cell r="J10">
            <v>3</v>
          </cell>
          <cell r="K10">
            <v>8</v>
          </cell>
          <cell r="L10">
            <v>11</v>
          </cell>
          <cell r="M10">
            <v>-3</v>
          </cell>
          <cell r="N10">
            <v>28.287485677777777</v>
          </cell>
        </row>
        <row r="11">
          <cell r="D11" t="str">
            <v>Mello RJ</v>
          </cell>
          <cell r="E11">
            <v>0.55555555555555558</v>
          </cell>
          <cell r="F11">
            <v>10</v>
          </cell>
          <cell r="G11">
            <v>6</v>
          </cell>
          <cell r="H11">
            <v>3</v>
          </cell>
          <cell r="I11">
            <v>1</v>
          </cell>
          <cell r="J11">
            <v>2</v>
          </cell>
          <cell r="K11">
            <v>11</v>
          </cell>
          <cell r="L11">
            <v>8</v>
          </cell>
          <cell r="M11">
            <v>3</v>
          </cell>
          <cell r="N11">
            <v>56.58586644555556</v>
          </cell>
        </row>
        <row r="12">
          <cell r="D12" t="str">
            <v>Jorge Calberg PR</v>
          </cell>
          <cell r="E12">
            <v>0.3888888888888889</v>
          </cell>
          <cell r="F12">
            <v>7</v>
          </cell>
          <cell r="G12">
            <v>6</v>
          </cell>
          <cell r="H12">
            <v>2</v>
          </cell>
          <cell r="I12">
            <v>1</v>
          </cell>
          <cell r="J12">
            <v>3</v>
          </cell>
          <cell r="K12">
            <v>2</v>
          </cell>
          <cell r="L12">
            <v>5</v>
          </cell>
          <cell r="M12">
            <v>-3</v>
          </cell>
          <cell r="N12">
            <v>39.608590768888888</v>
          </cell>
        </row>
        <row r="14">
          <cell r="D14" t="str">
            <v>Atletas</v>
          </cell>
          <cell r="E14" t="str">
            <v>%AP</v>
          </cell>
          <cell r="F14" t="str">
            <v>PTS</v>
          </cell>
          <cell r="G14" t="str">
            <v>J</v>
          </cell>
          <cell r="H14" t="str">
            <v>V</v>
          </cell>
          <cell r="I14" t="str">
            <v>E</v>
          </cell>
          <cell r="J14" t="str">
            <v>D</v>
          </cell>
          <cell r="K14" t="str">
            <v>GP</v>
          </cell>
          <cell r="L14" t="str">
            <v>GC</v>
          </cell>
          <cell r="M14" t="str">
            <v>SG</v>
          </cell>
          <cell r="N14" t="str">
            <v>ID</v>
          </cell>
        </row>
        <row r="15">
          <cell r="D15" t="str">
            <v>Alex Lage MG</v>
          </cell>
          <cell r="E15">
            <v>0.61111111111111116</v>
          </cell>
          <cell r="F15">
            <v>11</v>
          </cell>
          <cell r="G15">
            <v>6</v>
          </cell>
          <cell r="H15">
            <v>3</v>
          </cell>
          <cell r="I15">
            <v>2</v>
          </cell>
          <cell r="J15">
            <v>1</v>
          </cell>
          <cell r="K15">
            <v>9</v>
          </cell>
          <cell r="L15">
            <v>5</v>
          </cell>
          <cell r="M15">
            <v>4</v>
          </cell>
          <cell r="N15">
            <v>62.241519961111123</v>
          </cell>
        </row>
        <row r="16">
          <cell r="D16" t="str">
            <v>Júlio Ramos SC</v>
          </cell>
          <cell r="E16">
            <v>0.3888888888888889</v>
          </cell>
          <cell r="F16">
            <v>7</v>
          </cell>
          <cell r="G16">
            <v>6</v>
          </cell>
          <cell r="H16">
            <v>2</v>
          </cell>
          <cell r="I16">
            <v>1</v>
          </cell>
          <cell r="J16">
            <v>3</v>
          </cell>
          <cell r="K16">
            <v>5</v>
          </cell>
          <cell r="L16">
            <v>8</v>
          </cell>
          <cell r="M16">
            <v>-3</v>
          </cell>
          <cell r="N16">
            <v>39.608593728888891</v>
          </cell>
        </row>
        <row r="17">
          <cell r="D17" t="str">
            <v>William Isaias MS</v>
          </cell>
          <cell r="E17">
            <v>0.55555555555555558</v>
          </cell>
          <cell r="F17">
            <v>10</v>
          </cell>
          <cell r="G17">
            <v>6</v>
          </cell>
          <cell r="H17">
            <v>3</v>
          </cell>
          <cell r="I17">
            <v>1</v>
          </cell>
          <cell r="J17">
            <v>2</v>
          </cell>
          <cell r="K17">
            <v>8</v>
          </cell>
          <cell r="L17">
            <v>7</v>
          </cell>
          <cell r="M17">
            <v>1</v>
          </cell>
          <cell r="N17">
            <v>56.585663385555563</v>
          </cell>
        </row>
        <row r="18">
          <cell r="D18" t="str">
            <v>-</v>
          </cell>
          <cell r="E18">
            <v>0</v>
          </cell>
          <cell r="F18">
            <v>0</v>
          </cell>
          <cell r="G18">
            <v>54</v>
          </cell>
          <cell r="H18">
            <v>0</v>
          </cell>
          <cell r="I18">
            <v>0</v>
          </cell>
          <cell r="J18">
            <v>54</v>
          </cell>
          <cell r="K18">
            <v>0</v>
          </cell>
          <cell r="L18">
            <v>54</v>
          </cell>
          <cell r="M18">
            <v>-54</v>
          </cell>
          <cell r="N18">
            <v>-5.4001800000000001E-3</v>
          </cell>
        </row>
        <row r="19">
          <cell r="D19" t="str">
            <v>Rafael Santos SP</v>
          </cell>
          <cell r="E19">
            <v>0.16666666666666666</v>
          </cell>
          <cell r="F19">
            <v>3</v>
          </cell>
          <cell r="G19">
            <v>6</v>
          </cell>
          <cell r="H19">
            <v>1</v>
          </cell>
          <cell r="I19">
            <v>0</v>
          </cell>
          <cell r="J19">
            <v>5</v>
          </cell>
          <cell r="K19">
            <v>3</v>
          </cell>
          <cell r="L19">
            <v>10</v>
          </cell>
          <cell r="M19">
            <v>-7</v>
          </cell>
          <cell r="N19">
            <v>16.975969476666663</v>
          </cell>
        </row>
        <row r="20">
          <cell r="D20" t="str">
            <v>Marcelo Baceiredo MG</v>
          </cell>
          <cell r="E20">
            <v>0.77777777777777779</v>
          </cell>
          <cell r="F20">
            <v>14</v>
          </cell>
          <cell r="G20">
            <v>6</v>
          </cell>
          <cell r="H20">
            <v>4</v>
          </cell>
          <cell r="I20">
            <v>2</v>
          </cell>
          <cell r="J20">
            <v>0</v>
          </cell>
          <cell r="K20">
            <v>8</v>
          </cell>
          <cell r="L20">
            <v>1</v>
          </cell>
          <cell r="M20">
            <v>7</v>
          </cell>
          <cell r="N20">
            <v>79.21848557777777</v>
          </cell>
        </row>
        <row r="21">
          <cell r="D21" t="str">
            <v>Rogelson PR</v>
          </cell>
          <cell r="E21">
            <v>0.77777777777777779</v>
          </cell>
          <cell r="F21">
            <v>14</v>
          </cell>
          <cell r="G21">
            <v>6</v>
          </cell>
          <cell r="H21">
            <v>4</v>
          </cell>
          <cell r="I21">
            <v>2</v>
          </cell>
          <cell r="J21">
            <v>0</v>
          </cell>
          <cell r="K21">
            <v>8</v>
          </cell>
          <cell r="L21">
            <v>4</v>
          </cell>
          <cell r="M21">
            <v>4</v>
          </cell>
          <cell r="N21">
            <v>79.21818556777778</v>
          </cell>
        </row>
        <row r="23">
          <cell r="D23" t="str">
            <v>Atletas</v>
          </cell>
          <cell r="E23" t="str">
            <v>%AP</v>
          </cell>
          <cell r="F23" t="str">
            <v>PTS</v>
          </cell>
          <cell r="G23" t="str">
            <v>J</v>
          </cell>
          <cell r="H23" t="str">
            <v>V</v>
          </cell>
          <cell r="I23" t="str">
            <v>E</v>
          </cell>
          <cell r="J23" t="str">
            <v>D</v>
          </cell>
          <cell r="K23" t="str">
            <v>GP</v>
          </cell>
          <cell r="L23" t="str">
            <v>GC</v>
          </cell>
          <cell r="M23" t="str">
            <v>SG</v>
          </cell>
          <cell r="N23" t="str">
            <v>ID</v>
          </cell>
        </row>
        <row r="24">
          <cell r="D24" t="str">
            <v>Victor Praça RJ</v>
          </cell>
          <cell r="E24">
            <v>0.88888888888888884</v>
          </cell>
          <cell r="F24">
            <v>16</v>
          </cell>
          <cell r="G24">
            <v>6</v>
          </cell>
          <cell r="H24">
            <v>5</v>
          </cell>
          <cell r="I24">
            <v>1</v>
          </cell>
          <cell r="J24">
            <v>0</v>
          </cell>
          <cell r="K24">
            <v>15</v>
          </cell>
          <cell r="L24">
            <v>4</v>
          </cell>
          <cell r="M24">
            <v>11</v>
          </cell>
          <cell r="N24">
            <v>90.54000364888887</v>
          </cell>
        </row>
        <row r="25">
          <cell r="D25" t="str">
            <v>Rodrigo Moro SP</v>
          </cell>
          <cell r="E25">
            <v>0.33333333333333331</v>
          </cell>
          <cell r="F25">
            <v>6</v>
          </cell>
          <cell r="G25">
            <v>6</v>
          </cell>
          <cell r="H25">
            <v>2</v>
          </cell>
          <cell r="I25">
            <v>0</v>
          </cell>
          <cell r="J25">
            <v>4</v>
          </cell>
          <cell r="K25">
            <v>5</v>
          </cell>
          <cell r="L25">
            <v>8</v>
          </cell>
          <cell r="M25">
            <v>-3</v>
          </cell>
          <cell r="N25">
            <v>33.953038083333333</v>
          </cell>
        </row>
        <row r="26">
          <cell r="D26" t="str">
            <v>Ricardo Teles MS</v>
          </cell>
          <cell r="E26">
            <v>0.3888888888888889</v>
          </cell>
          <cell r="F26">
            <v>7</v>
          </cell>
          <cell r="G26">
            <v>6</v>
          </cell>
          <cell r="H26">
            <v>2</v>
          </cell>
          <cell r="I26">
            <v>1</v>
          </cell>
          <cell r="J26">
            <v>3</v>
          </cell>
          <cell r="K26">
            <v>4</v>
          </cell>
          <cell r="L26">
            <v>7</v>
          </cell>
          <cell r="M26">
            <v>-3</v>
          </cell>
          <cell r="N26">
            <v>39.608592628888886</v>
          </cell>
        </row>
        <row r="27">
          <cell r="D27" t="str">
            <v>Almo PR</v>
          </cell>
          <cell r="E27">
            <v>0.88888888888888884</v>
          </cell>
          <cell r="F27">
            <v>16</v>
          </cell>
          <cell r="G27">
            <v>6</v>
          </cell>
          <cell r="H27">
            <v>5</v>
          </cell>
          <cell r="I27">
            <v>1</v>
          </cell>
          <cell r="J27">
            <v>0</v>
          </cell>
          <cell r="K27">
            <v>10</v>
          </cell>
          <cell r="L27">
            <v>2</v>
          </cell>
          <cell r="M27">
            <v>8</v>
          </cell>
          <cell r="N27">
            <v>90.539698618888877</v>
          </cell>
        </row>
        <row r="28">
          <cell r="D28" t="str">
            <v>Afonso SP</v>
          </cell>
          <cell r="E28">
            <v>0.44444444444444442</v>
          </cell>
          <cell r="F28">
            <v>8</v>
          </cell>
          <cell r="G28">
            <v>6</v>
          </cell>
          <cell r="H28">
            <v>2</v>
          </cell>
          <cell r="I28">
            <v>2</v>
          </cell>
          <cell r="J28">
            <v>2</v>
          </cell>
          <cell r="K28">
            <v>5</v>
          </cell>
          <cell r="L28">
            <v>10</v>
          </cell>
          <cell r="M28">
            <v>-5</v>
          </cell>
          <cell r="N28">
            <v>45.26394916444444</v>
          </cell>
        </row>
        <row r="29">
          <cell r="D29" t="str">
            <v>-</v>
          </cell>
          <cell r="E29">
            <v>0</v>
          </cell>
          <cell r="F29">
            <v>0</v>
          </cell>
          <cell r="G29">
            <v>54</v>
          </cell>
          <cell r="H29">
            <v>0</v>
          </cell>
          <cell r="I29">
            <v>0</v>
          </cell>
          <cell r="J29">
            <v>54</v>
          </cell>
          <cell r="K29">
            <v>0</v>
          </cell>
          <cell r="L29">
            <v>54</v>
          </cell>
          <cell r="M29">
            <v>-54</v>
          </cell>
          <cell r="N29">
            <v>-5.4002900000000003E-3</v>
          </cell>
        </row>
        <row r="30">
          <cell r="D30" t="str">
            <v>Davi Trigueiros PR</v>
          </cell>
          <cell r="E30">
            <v>0.3888888888888889</v>
          </cell>
          <cell r="F30">
            <v>7</v>
          </cell>
          <cell r="G30">
            <v>6</v>
          </cell>
          <cell r="H30">
            <v>2</v>
          </cell>
          <cell r="I30">
            <v>1</v>
          </cell>
          <cell r="J30">
            <v>3</v>
          </cell>
          <cell r="K30">
            <v>5</v>
          </cell>
          <cell r="L30">
            <v>7</v>
          </cell>
          <cell r="M30">
            <v>-2</v>
          </cell>
          <cell r="N30">
            <v>39.608693588888883</v>
          </cell>
        </row>
        <row r="32">
          <cell r="D32" t="str">
            <v>Atletas</v>
          </cell>
          <cell r="E32" t="str">
            <v>%AP</v>
          </cell>
          <cell r="F32" t="str">
            <v>PTS</v>
          </cell>
          <cell r="G32" t="str">
            <v>J</v>
          </cell>
          <cell r="H32" t="str">
            <v>V</v>
          </cell>
          <cell r="I32" t="str">
            <v>E</v>
          </cell>
          <cell r="J32" t="str">
            <v>D</v>
          </cell>
          <cell r="K32" t="str">
            <v>GP</v>
          </cell>
          <cell r="L32" t="str">
            <v>GC</v>
          </cell>
          <cell r="M32" t="str">
            <v>SG</v>
          </cell>
          <cell r="N32" t="str">
            <v>ID</v>
          </cell>
        </row>
        <row r="33">
          <cell r="D33" t="str">
            <v>Willow SP</v>
          </cell>
          <cell r="E33">
            <v>0.77777777777777779</v>
          </cell>
          <cell r="F33">
            <v>14</v>
          </cell>
          <cell r="G33">
            <v>6</v>
          </cell>
          <cell r="H33">
            <v>4</v>
          </cell>
          <cell r="I33">
            <v>2</v>
          </cell>
          <cell r="J33">
            <v>0</v>
          </cell>
          <cell r="K33">
            <v>11</v>
          </cell>
          <cell r="L33">
            <v>4</v>
          </cell>
          <cell r="M33">
            <v>7</v>
          </cell>
          <cell r="N33">
            <v>79.218488447777773</v>
          </cell>
        </row>
        <row r="34">
          <cell r="D34" t="str">
            <v>Leo Fernandes RJ</v>
          </cell>
          <cell r="E34">
            <v>0.22222222222222221</v>
          </cell>
          <cell r="F34">
            <v>4</v>
          </cell>
          <cell r="G34">
            <v>6</v>
          </cell>
          <cell r="H34">
            <v>1</v>
          </cell>
          <cell r="I34">
            <v>1</v>
          </cell>
          <cell r="J34">
            <v>4</v>
          </cell>
          <cell r="K34">
            <v>3</v>
          </cell>
          <cell r="L34">
            <v>10</v>
          </cell>
          <cell r="M34">
            <v>-7</v>
          </cell>
          <cell r="N34">
            <v>22.631524882222219</v>
          </cell>
        </row>
        <row r="35">
          <cell r="D35" t="str">
            <v>Leo Anache MS</v>
          </cell>
          <cell r="E35">
            <v>0.3888888888888889</v>
          </cell>
          <cell r="F35">
            <v>7</v>
          </cell>
          <cell r="G35">
            <v>6</v>
          </cell>
          <cell r="H35">
            <v>2</v>
          </cell>
          <cell r="I35">
            <v>1</v>
          </cell>
          <cell r="J35">
            <v>3</v>
          </cell>
          <cell r="K35">
            <v>6</v>
          </cell>
          <cell r="L35">
            <v>6</v>
          </cell>
          <cell r="M35">
            <v>0</v>
          </cell>
          <cell r="N35">
            <v>39.60889453888889</v>
          </cell>
        </row>
        <row r="36">
          <cell r="D36" t="str">
            <v>Rogério MG</v>
          </cell>
          <cell r="E36">
            <v>0.44444444444444442</v>
          </cell>
          <cell r="F36">
            <v>8</v>
          </cell>
          <cell r="G36">
            <v>6</v>
          </cell>
          <cell r="H36">
            <v>2</v>
          </cell>
          <cell r="I36">
            <v>2</v>
          </cell>
          <cell r="J36">
            <v>2</v>
          </cell>
          <cell r="K36">
            <v>8</v>
          </cell>
          <cell r="L36">
            <v>15</v>
          </cell>
          <cell r="M36">
            <v>-7</v>
          </cell>
          <cell r="N36">
            <v>45.263752084444441</v>
          </cell>
        </row>
        <row r="37">
          <cell r="D37" t="str">
            <v>Elsio SP</v>
          </cell>
          <cell r="E37">
            <v>0.83333333333333337</v>
          </cell>
          <cell r="F37">
            <v>15</v>
          </cell>
          <cell r="G37">
            <v>6</v>
          </cell>
          <cell r="H37">
            <v>5</v>
          </cell>
          <cell r="I37">
            <v>0</v>
          </cell>
          <cell r="J37">
            <v>1</v>
          </cell>
          <cell r="K37">
            <v>15</v>
          </cell>
          <cell r="L37">
            <v>3</v>
          </cell>
          <cell r="M37">
            <v>12</v>
          </cell>
          <cell r="N37">
            <v>84.884547963333347</v>
          </cell>
        </row>
        <row r="38">
          <cell r="D38" t="str">
            <v>Leo Machado MG</v>
          </cell>
          <cell r="E38">
            <v>0.3888888888888889</v>
          </cell>
          <cell r="F38">
            <v>7</v>
          </cell>
          <cell r="G38">
            <v>6</v>
          </cell>
          <cell r="H38">
            <v>2</v>
          </cell>
          <cell r="I38">
            <v>1</v>
          </cell>
          <cell r="J38">
            <v>3</v>
          </cell>
          <cell r="K38">
            <v>9</v>
          </cell>
          <cell r="L38">
            <v>7</v>
          </cell>
          <cell r="M38">
            <v>2</v>
          </cell>
          <cell r="N38">
            <v>39.609097508888887</v>
          </cell>
        </row>
        <row r="39">
          <cell r="D39" t="str">
            <v>Rogelton PR</v>
          </cell>
          <cell r="E39">
            <v>0.22222222222222221</v>
          </cell>
          <cell r="F39">
            <v>4</v>
          </cell>
          <cell r="G39">
            <v>6</v>
          </cell>
          <cell r="H39">
            <v>1</v>
          </cell>
          <cell r="I39">
            <v>1</v>
          </cell>
          <cell r="J39">
            <v>4</v>
          </cell>
          <cell r="K39">
            <v>5</v>
          </cell>
          <cell r="L39">
            <v>12</v>
          </cell>
          <cell r="M39">
            <v>-7</v>
          </cell>
          <cell r="N39">
            <v>22.631526832222221</v>
          </cell>
        </row>
        <row r="41">
          <cell r="D41" t="str">
            <v>Atletas</v>
          </cell>
          <cell r="E41" t="str">
            <v>%AP</v>
          </cell>
          <cell r="F41" t="str">
            <v>PTS</v>
          </cell>
          <cell r="G41" t="str">
            <v>J</v>
          </cell>
          <cell r="H41" t="str">
            <v>V</v>
          </cell>
          <cell r="I41" t="str">
            <v>E</v>
          </cell>
          <cell r="J41" t="str">
            <v>D</v>
          </cell>
          <cell r="K41" t="str">
            <v>GP</v>
          </cell>
          <cell r="L41" t="str">
            <v>GC</v>
          </cell>
          <cell r="M41" t="str">
            <v>SG</v>
          </cell>
          <cell r="N41" t="str">
            <v>ID</v>
          </cell>
        </row>
        <row r="42">
          <cell r="D42" t="str">
            <v>Kojala MG</v>
          </cell>
          <cell r="E42">
            <v>0.5</v>
          </cell>
          <cell r="F42">
            <v>9</v>
          </cell>
          <cell r="G42">
            <v>6</v>
          </cell>
          <cell r="H42">
            <v>3</v>
          </cell>
          <cell r="I42">
            <v>0</v>
          </cell>
          <cell r="J42">
            <v>3</v>
          </cell>
          <cell r="K42">
            <v>11</v>
          </cell>
          <cell r="L42">
            <v>9</v>
          </cell>
          <cell r="M42">
            <v>2</v>
          </cell>
          <cell r="N42">
            <v>50.930210580000001</v>
          </cell>
        </row>
        <row r="43">
          <cell r="D43" t="str">
            <v>Mário Bürguel RS</v>
          </cell>
          <cell r="E43">
            <v>0.61111111111111116</v>
          </cell>
          <cell r="F43">
            <v>11</v>
          </cell>
          <cell r="G43">
            <v>6</v>
          </cell>
          <cell r="H43">
            <v>3</v>
          </cell>
          <cell r="I43">
            <v>2</v>
          </cell>
          <cell r="J43">
            <v>1</v>
          </cell>
          <cell r="K43">
            <v>15</v>
          </cell>
          <cell r="L43">
            <v>9</v>
          </cell>
          <cell r="M43">
            <v>6</v>
          </cell>
          <cell r="N43">
            <v>62.24172568111112</v>
          </cell>
        </row>
        <row r="44">
          <cell r="D44" t="str">
            <v>Nine RJ</v>
          </cell>
          <cell r="E44">
            <v>0.55555555555555558</v>
          </cell>
          <cell r="F44">
            <v>10</v>
          </cell>
          <cell r="G44">
            <v>6</v>
          </cell>
          <cell r="H44">
            <v>3</v>
          </cell>
          <cell r="I44">
            <v>1</v>
          </cell>
          <cell r="J44">
            <v>2</v>
          </cell>
          <cell r="K44">
            <v>9</v>
          </cell>
          <cell r="L44">
            <v>9</v>
          </cell>
          <cell r="M44">
            <v>0</v>
          </cell>
          <cell r="N44">
            <v>56.585564115555556</v>
          </cell>
        </row>
        <row r="45">
          <cell r="D45" t="str">
            <v>Régis Martins RJ</v>
          </cell>
          <cell r="E45">
            <v>0.83333333333333337</v>
          </cell>
          <cell r="F45">
            <v>15</v>
          </cell>
          <cell r="G45">
            <v>6</v>
          </cell>
          <cell r="H45">
            <v>5</v>
          </cell>
          <cell r="I45">
            <v>0</v>
          </cell>
          <cell r="J45">
            <v>1</v>
          </cell>
          <cell r="K45">
            <v>16</v>
          </cell>
          <cell r="L45">
            <v>7</v>
          </cell>
          <cell r="M45">
            <v>9</v>
          </cell>
          <cell r="N45">
            <v>84.884248883333342</v>
          </cell>
        </row>
        <row r="46">
          <cell r="D46" t="str">
            <v>Cléo Jr SP</v>
          </cell>
          <cell r="E46">
            <v>0.55555555555555558</v>
          </cell>
          <cell r="F46">
            <v>10</v>
          </cell>
          <cell r="G46">
            <v>6</v>
          </cell>
          <cell r="H46">
            <v>3</v>
          </cell>
          <cell r="I46">
            <v>1</v>
          </cell>
          <cell r="J46">
            <v>2</v>
          </cell>
          <cell r="K46">
            <v>8</v>
          </cell>
          <cell r="L46">
            <v>8</v>
          </cell>
          <cell r="M46">
            <v>0</v>
          </cell>
          <cell r="N46">
            <v>56.585563095555557</v>
          </cell>
        </row>
        <row r="47">
          <cell r="D47" t="str">
            <v>Zanella SP</v>
          </cell>
          <cell r="E47">
            <v>0.1111111111111111</v>
          </cell>
          <cell r="F47">
            <v>2</v>
          </cell>
          <cell r="G47">
            <v>6</v>
          </cell>
          <cell r="H47">
            <v>0</v>
          </cell>
          <cell r="I47">
            <v>2</v>
          </cell>
          <cell r="J47">
            <v>4</v>
          </cell>
          <cell r="K47">
            <v>5</v>
          </cell>
          <cell r="L47">
            <v>12</v>
          </cell>
          <cell r="M47">
            <v>-7</v>
          </cell>
          <cell r="N47">
            <v>11.31041564111111</v>
          </cell>
        </row>
        <row r="48">
          <cell r="D48" t="str">
            <v>João Carrasco DF</v>
          </cell>
          <cell r="E48">
            <v>0.16666666666666666</v>
          </cell>
          <cell r="F48">
            <v>3</v>
          </cell>
          <cell r="G48">
            <v>6</v>
          </cell>
          <cell r="H48">
            <v>1</v>
          </cell>
          <cell r="I48">
            <v>0</v>
          </cell>
          <cell r="J48">
            <v>5</v>
          </cell>
          <cell r="K48">
            <v>1</v>
          </cell>
          <cell r="L48">
            <v>11</v>
          </cell>
          <cell r="M48">
            <v>-10</v>
          </cell>
          <cell r="N48">
            <v>16.975667186666662</v>
          </cell>
        </row>
        <row r="50">
          <cell r="D50" t="str">
            <v>Atletas</v>
          </cell>
          <cell r="E50" t="str">
            <v>%AP</v>
          </cell>
          <cell r="F50" t="str">
            <v>PTS</v>
          </cell>
          <cell r="G50" t="str">
            <v>J</v>
          </cell>
          <cell r="H50" t="str">
            <v>V</v>
          </cell>
          <cell r="I50" t="str">
            <v>E</v>
          </cell>
          <cell r="J50" t="str">
            <v>D</v>
          </cell>
          <cell r="K50" t="str">
            <v>GP</v>
          </cell>
          <cell r="L50" t="str">
            <v>GC</v>
          </cell>
          <cell r="M50" t="str">
            <v>SG</v>
          </cell>
          <cell r="N50" t="str">
            <v>ID</v>
          </cell>
        </row>
        <row r="51">
          <cell r="D51" t="str">
            <v>Luís Colla MG</v>
          </cell>
          <cell r="E51">
            <v>0.77777777777777779</v>
          </cell>
          <cell r="F51">
            <v>14</v>
          </cell>
          <cell r="G51">
            <v>6</v>
          </cell>
          <cell r="H51">
            <v>4</v>
          </cell>
          <cell r="I51">
            <v>2</v>
          </cell>
          <cell r="J51">
            <v>0</v>
          </cell>
          <cell r="K51">
            <v>23</v>
          </cell>
          <cell r="L51">
            <v>12</v>
          </cell>
          <cell r="M51">
            <v>11</v>
          </cell>
          <cell r="N51">
            <v>79.218900267777769</v>
          </cell>
        </row>
        <row r="52">
          <cell r="D52" t="str">
            <v>Castilho RJ</v>
          </cell>
          <cell r="E52">
            <v>0.66666666666666663</v>
          </cell>
          <cell r="F52">
            <v>12</v>
          </cell>
          <cell r="G52">
            <v>6</v>
          </cell>
          <cell r="H52">
            <v>3</v>
          </cell>
          <cell r="I52">
            <v>3</v>
          </cell>
          <cell r="J52">
            <v>0</v>
          </cell>
          <cell r="K52">
            <v>17</v>
          </cell>
          <cell r="L52">
            <v>11</v>
          </cell>
          <cell r="M52">
            <v>6</v>
          </cell>
          <cell r="N52">
            <v>67.897283146666652</v>
          </cell>
        </row>
        <row r="53">
          <cell r="D53" t="str">
            <v>Jorge Ferraz RJ</v>
          </cell>
          <cell r="E53">
            <v>0.3888888888888889</v>
          </cell>
          <cell r="F53">
            <v>7</v>
          </cell>
          <cell r="G53">
            <v>6</v>
          </cell>
          <cell r="H53">
            <v>2</v>
          </cell>
          <cell r="I53">
            <v>1</v>
          </cell>
          <cell r="J53">
            <v>3</v>
          </cell>
          <cell r="K53">
            <v>14</v>
          </cell>
          <cell r="L53">
            <v>16</v>
          </cell>
          <cell r="M53">
            <v>-2</v>
          </cell>
          <cell r="N53">
            <v>39.608702358888884</v>
          </cell>
        </row>
        <row r="54">
          <cell r="D54" t="str">
            <v>Netynho PE</v>
          </cell>
          <cell r="E54">
            <v>0.1111111111111111</v>
          </cell>
          <cell r="F54">
            <v>2</v>
          </cell>
          <cell r="G54">
            <v>6</v>
          </cell>
          <cell r="H54">
            <v>0</v>
          </cell>
          <cell r="I54">
            <v>2</v>
          </cell>
          <cell r="J54">
            <v>4</v>
          </cell>
          <cell r="K54">
            <v>6</v>
          </cell>
          <cell r="L54">
            <v>19</v>
          </cell>
          <cell r="M54">
            <v>-13</v>
          </cell>
          <cell r="N54">
            <v>11.30981657111111</v>
          </cell>
        </row>
        <row r="55">
          <cell r="D55" t="str">
            <v>Baby SP</v>
          </cell>
          <cell r="E55">
            <v>0.1111111111111111</v>
          </cell>
          <cell r="F55">
            <v>2</v>
          </cell>
          <cell r="G55">
            <v>6</v>
          </cell>
          <cell r="H55">
            <v>0</v>
          </cell>
          <cell r="I55">
            <v>2</v>
          </cell>
          <cell r="J55">
            <v>4</v>
          </cell>
          <cell r="K55">
            <v>3</v>
          </cell>
          <cell r="L55">
            <v>14</v>
          </cell>
          <cell r="M55">
            <v>-11</v>
          </cell>
          <cell r="N55">
            <v>11.310013561111111</v>
          </cell>
        </row>
        <row r="56">
          <cell r="D56" t="str">
            <v>Vitor Luiz</v>
          </cell>
          <cell r="E56">
            <v>0.5</v>
          </cell>
          <cell r="F56">
            <v>9</v>
          </cell>
          <cell r="G56">
            <v>6</v>
          </cell>
          <cell r="H56">
            <v>3</v>
          </cell>
          <cell r="I56">
            <v>0</v>
          </cell>
          <cell r="J56">
            <v>3</v>
          </cell>
          <cell r="K56">
            <v>10</v>
          </cell>
          <cell r="L56">
            <v>8</v>
          </cell>
          <cell r="M56">
            <v>2</v>
          </cell>
          <cell r="N56">
            <v>50.930209440000006</v>
          </cell>
        </row>
        <row r="57">
          <cell r="D57" t="str">
            <v>Danilo Carrasco DF</v>
          </cell>
          <cell r="E57">
            <v>0.61111111111111116</v>
          </cell>
          <cell r="F57">
            <v>11</v>
          </cell>
          <cell r="G57">
            <v>6</v>
          </cell>
          <cell r="H57">
            <v>3</v>
          </cell>
          <cell r="I57">
            <v>2</v>
          </cell>
          <cell r="J57">
            <v>1</v>
          </cell>
          <cell r="K57">
            <v>18</v>
          </cell>
          <cell r="L57">
            <v>11</v>
          </cell>
          <cell r="M57">
            <v>7</v>
          </cell>
          <cell r="N57">
            <v>62.241828541111119</v>
          </cell>
        </row>
        <row r="59">
          <cell r="D59" t="str">
            <v>Atletas</v>
          </cell>
          <cell r="E59" t="str">
            <v>%AP</v>
          </cell>
          <cell r="F59" t="str">
            <v>PTS</v>
          </cell>
          <cell r="G59" t="str">
            <v>J</v>
          </cell>
          <cell r="H59" t="str">
            <v>V</v>
          </cell>
          <cell r="I59" t="str">
            <v>E</v>
          </cell>
          <cell r="J59" t="str">
            <v>D</v>
          </cell>
          <cell r="K59" t="str">
            <v>GP</v>
          </cell>
          <cell r="L59" t="str">
            <v>GC</v>
          </cell>
          <cell r="M59" t="str">
            <v>SG</v>
          </cell>
          <cell r="N59" t="str">
            <v>ID</v>
          </cell>
        </row>
        <row r="60">
          <cell r="D60" t="str">
            <v>Bandini RJ</v>
          </cell>
          <cell r="E60">
            <v>0.88888888888888884</v>
          </cell>
          <cell r="F60">
            <v>16</v>
          </cell>
          <cell r="G60">
            <v>6</v>
          </cell>
          <cell r="H60">
            <v>5</v>
          </cell>
          <cell r="I60">
            <v>1</v>
          </cell>
          <cell r="J60">
            <v>0</v>
          </cell>
          <cell r="K60">
            <v>19</v>
          </cell>
          <cell r="L60">
            <v>3</v>
          </cell>
          <cell r="M60">
            <v>16</v>
          </cell>
          <cell r="N60">
            <v>90.540507288888875</v>
          </cell>
        </row>
        <row r="61">
          <cell r="D61" t="str">
            <v>Marcelo Rodrigues PR</v>
          </cell>
          <cell r="E61">
            <v>0.5</v>
          </cell>
          <cell r="F61">
            <v>9</v>
          </cell>
          <cell r="G61">
            <v>6</v>
          </cell>
          <cell r="H61">
            <v>3</v>
          </cell>
          <cell r="I61">
            <v>0</v>
          </cell>
          <cell r="J61">
            <v>3</v>
          </cell>
          <cell r="K61">
            <v>9</v>
          </cell>
          <cell r="L61">
            <v>16</v>
          </cell>
          <cell r="M61">
            <v>-7</v>
          </cell>
          <cell r="N61">
            <v>50.929308390000003</v>
          </cell>
        </row>
        <row r="62">
          <cell r="D62" t="str">
            <v>João Eduardo RJ</v>
          </cell>
          <cell r="E62">
            <v>0.55555555555555558</v>
          </cell>
          <cell r="F62">
            <v>10</v>
          </cell>
          <cell r="G62">
            <v>6</v>
          </cell>
          <cell r="H62">
            <v>3</v>
          </cell>
          <cell r="I62">
            <v>1</v>
          </cell>
          <cell r="J62">
            <v>2</v>
          </cell>
          <cell r="K62">
            <v>8</v>
          </cell>
          <cell r="L62">
            <v>6</v>
          </cell>
          <cell r="M62">
            <v>2</v>
          </cell>
          <cell r="N62">
            <v>56.585762935555557</v>
          </cell>
        </row>
        <row r="63">
          <cell r="D63" t="str">
            <v>João Cesar RJ</v>
          </cell>
          <cell r="E63">
            <v>0.55555555555555558</v>
          </cell>
          <cell r="F63">
            <v>10</v>
          </cell>
          <cell r="G63">
            <v>6</v>
          </cell>
          <cell r="H63">
            <v>3</v>
          </cell>
          <cell r="I63">
            <v>1</v>
          </cell>
          <cell r="J63">
            <v>2</v>
          </cell>
          <cell r="K63">
            <v>11</v>
          </cell>
          <cell r="L63">
            <v>10</v>
          </cell>
          <cell r="M63">
            <v>1</v>
          </cell>
          <cell r="N63">
            <v>56.58566592555556</v>
          </cell>
        </row>
        <row r="64">
          <cell r="D64" t="str">
            <v>Augusto Barba SM</v>
          </cell>
          <cell r="E64">
            <v>0.27777777777777779</v>
          </cell>
          <cell r="F64">
            <v>5</v>
          </cell>
          <cell r="G64">
            <v>6</v>
          </cell>
          <cell r="H64">
            <v>1</v>
          </cell>
          <cell r="I64">
            <v>2</v>
          </cell>
          <cell r="J64">
            <v>3</v>
          </cell>
          <cell r="K64">
            <v>6</v>
          </cell>
          <cell r="L64">
            <v>11</v>
          </cell>
          <cell r="M64">
            <v>-5</v>
          </cell>
          <cell r="N64">
            <v>28.287283137777781</v>
          </cell>
        </row>
        <row r="65">
          <cell r="D65" t="str">
            <v>Claudio Mastrangelo RS</v>
          </cell>
          <cell r="E65">
            <v>0.55555555555555558</v>
          </cell>
          <cell r="F65">
            <v>10</v>
          </cell>
          <cell r="G65">
            <v>6</v>
          </cell>
          <cell r="H65">
            <v>3</v>
          </cell>
          <cell r="I65">
            <v>1</v>
          </cell>
          <cell r="J65">
            <v>2</v>
          </cell>
          <cell r="K65">
            <v>6</v>
          </cell>
          <cell r="L65">
            <v>7</v>
          </cell>
          <cell r="M65">
            <v>-1</v>
          </cell>
          <cell r="N65">
            <v>56.585460905555564</v>
          </cell>
        </row>
        <row r="66">
          <cell r="D66" t="str">
            <v>-</v>
          </cell>
          <cell r="E66">
            <v>0</v>
          </cell>
          <cell r="F66">
            <v>0</v>
          </cell>
          <cell r="G66">
            <v>54</v>
          </cell>
          <cell r="H66">
            <v>0</v>
          </cell>
          <cell r="I66">
            <v>0</v>
          </cell>
          <cell r="J66">
            <v>54</v>
          </cell>
          <cell r="K66">
            <v>0</v>
          </cell>
          <cell r="L66">
            <v>54</v>
          </cell>
          <cell r="M66">
            <v>-54</v>
          </cell>
          <cell r="N66">
            <v>-5.4006600000000007E-3</v>
          </cell>
        </row>
        <row r="68">
          <cell r="D68" t="str">
            <v>Atletas</v>
          </cell>
          <cell r="E68" t="str">
            <v>%AP</v>
          </cell>
          <cell r="F68" t="str">
            <v>PTS</v>
          </cell>
          <cell r="G68" t="str">
            <v>J</v>
          </cell>
          <cell r="H68" t="str">
            <v>V</v>
          </cell>
          <cell r="I68" t="str">
            <v>E</v>
          </cell>
          <cell r="J68" t="str">
            <v>D</v>
          </cell>
          <cell r="K68" t="str">
            <v>GP</v>
          </cell>
          <cell r="L68" t="str">
            <v>GC</v>
          </cell>
          <cell r="M68" t="str">
            <v>SG</v>
          </cell>
          <cell r="N68" t="str">
            <v>ID</v>
          </cell>
        </row>
        <row r="69">
          <cell r="D69" t="str">
            <v>Oliveira RJ</v>
          </cell>
          <cell r="E69">
            <v>0.5</v>
          </cell>
          <cell r="F69">
            <v>9</v>
          </cell>
          <cell r="G69">
            <v>6</v>
          </cell>
          <cell r="H69">
            <v>3</v>
          </cell>
          <cell r="I69">
            <v>0</v>
          </cell>
          <cell r="J69">
            <v>3</v>
          </cell>
          <cell r="K69">
            <v>9</v>
          </cell>
          <cell r="L69">
            <v>9</v>
          </cell>
          <cell r="M69">
            <v>0</v>
          </cell>
          <cell r="N69">
            <v>50.930008309999998</v>
          </cell>
        </row>
        <row r="70">
          <cell r="D70" t="str">
            <v>Thiago Matoso RJ</v>
          </cell>
          <cell r="E70">
            <v>1</v>
          </cell>
          <cell r="F70">
            <v>18</v>
          </cell>
          <cell r="G70">
            <v>6</v>
          </cell>
          <cell r="H70">
            <v>6</v>
          </cell>
          <cell r="I70">
            <v>0</v>
          </cell>
          <cell r="J70">
            <v>0</v>
          </cell>
          <cell r="K70">
            <v>16</v>
          </cell>
          <cell r="L70">
            <v>3</v>
          </cell>
          <cell r="M70">
            <v>13</v>
          </cell>
          <cell r="N70">
            <v>101.8613153</v>
          </cell>
        </row>
        <row r="71">
          <cell r="D71" t="str">
            <v>Felipe Drago DF</v>
          </cell>
          <cell r="E71">
            <v>0.33333333333333331</v>
          </cell>
          <cell r="F71">
            <v>6</v>
          </cell>
          <cell r="G71">
            <v>6</v>
          </cell>
          <cell r="H71">
            <v>2</v>
          </cell>
          <cell r="I71">
            <v>0</v>
          </cell>
          <cell r="J71">
            <v>4</v>
          </cell>
          <cell r="K71">
            <v>7</v>
          </cell>
          <cell r="L71">
            <v>14</v>
          </cell>
          <cell r="M71">
            <v>-7</v>
          </cell>
          <cell r="N71">
            <v>33.952639623333326</v>
          </cell>
        </row>
        <row r="72">
          <cell r="D72" t="str">
            <v>Luiz Coelho SP</v>
          </cell>
          <cell r="E72">
            <v>0.66666666666666663</v>
          </cell>
          <cell r="F72">
            <v>12</v>
          </cell>
          <cell r="G72">
            <v>6</v>
          </cell>
          <cell r="H72">
            <v>4</v>
          </cell>
          <cell r="I72">
            <v>0</v>
          </cell>
          <cell r="J72">
            <v>2</v>
          </cell>
          <cell r="K72">
            <v>6</v>
          </cell>
          <cell r="L72">
            <v>6</v>
          </cell>
          <cell r="M72">
            <v>0</v>
          </cell>
          <cell r="N72">
            <v>67.906671946666648</v>
          </cell>
        </row>
        <row r="73">
          <cell r="D73" t="str">
            <v>Jhonata AM</v>
          </cell>
          <cell r="E73">
            <v>0.5</v>
          </cell>
          <cell r="F73">
            <v>9</v>
          </cell>
          <cell r="G73">
            <v>6</v>
          </cell>
          <cell r="H73">
            <v>3</v>
          </cell>
          <cell r="I73">
            <v>0</v>
          </cell>
          <cell r="J73">
            <v>3</v>
          </cell>
          <cell r="K73">
            <v>6</v>
          </cell>
          <cell r="L73">
            <v>7</v>
          </cell>
          <cell r="M73">
            <v>-1</v>
          </cell>
          <cell r="N73">
            <v>50.929905270000006</v>
          </cell>
        </row>
        <row r="74">
          <cell r="D74" t="str">
            <v>Ronaldo Eifler RS</v>
          </cell>
          <cell r="E74">
            <v>0.5</v>
          </cell>
          <cell r="F74">
            <v>9</v>
          </cell>
          <cell r="G74">
            <v>6</v>
          </cell>
          <cell r="H74">
            <v>3</v>
          </cell>
          <cell r="I74">
            <v>0</v>
          </cell>
          <cell r="J74">
            <v>3</v>
          </cell>
          <cell r="K74">
            <v>8</v>
          </cell>
          <cell r="L74">
            <v>7</v>
          </cell>
          <cell r="M74">
            <v>1</v>
          </cell>
          <cell r="N74">
            <v>50.93010726</v>
          </cell>
        </row>
        <row r="75">
          <cell r="D75" t="str">
            <v>-</v>
          </cell>
          <cell r="E75">
            <v>0</v>
          </cell>
          <cell r="F75">
            <v>0</v>
          </cell>
          <cell r="G75">
            <v>54</v>
          </cell>
          <cell r="H75">
            <v>0</v>
          </cell>
          <cell r="I75">
            <v>0</v>
          </cell>
          <cell r="J75">
            <v>54</v>
          </cell>
          <cell r="K75">
            <v>0</v>
          </cell>
          <cell r="L75">
            <v>54</v>
          </cell>
          <cell r="M75">
            <v>-54</v>
          </cell>
          <cell r="N75">
            <v>-5.4007500000000002E-3</v>
          </cell>
        </row>
        <row r="77">
          <cell r="D77" t="str">
            <v>Atletas</v>
          </cell>
          <cell r="E77" t="str">
            <v>%AP</v>
          </cell>
          <cell r="F77" t="str">
            <v>PTS</v>
          </cell>
          <cell r="G77" t="str">
            <v>J</v>
          </cell>
          <cell r="H77" t="str">
            <v>V</v>
          </cell>
          <cell r="I77" t="str">
            <v>E</v>
          </cell>
          <cell r="J77" t="str">
            <v>D</v>
          </cell>
          <cell r="K77" t="str">
            <v>GP</v>
          </cell>
          <cell r="L77" t="str">
            <v>GC</v>
          </cell>
          <cell r="M77" t="str">
            <v>SG</v>
          </cell>
          <cell r="N77" t="str">
            <v>ID</v>
          </cell>
        </row>
        <row r="78">
          <cell r="D78" t="str">
            <v>Eduardo Rocha RJ</v>
          </cell>
          <cell r="E78">
            <v>0.88888888888888884</v>
          </cell>
          <cell r="F78">
            <v>16</v>
          </cell>
          <cell r="G78">
            <v>6</v>
          </cell>
          <cell r="H78">
            <v>5</v>
          </cell>
          <cell r="I78">
            <v>1</v>
          </cell>
          <cell r="J78">
            <v>0</v>
          </cell>
          <cell r="K78">
            <v>18</v>
          </cell>
          <cell r="L78">
            <v>7</v>
          </cell>
          <cell r="M78">
            <v>11</v>
          </cell>
          <cell r="N78">
            <v>90.540006108888889</v>
          </cell>
        </row>
        <row r="79">
          <cell r="D79" t="str">
            <v>Tavares RJ</v>
          </cell>
          <cell r="E79">
            <v>0.66666666666666663</v>
          </cell>
          <cell r="F79">
            <v>12</v>
          </cell>
          <cell r="G79">
            <v>6</v>
          </cell>
          <cell r="H79">
            <v>4</v>
          </cell>
          <cell r="I79">
            <v>0</v>
          </cell>
          <cell r="J79">
            <v>2</v>
          </cell>
          <cell r="K79">
            <v>11</v>
          </cell>
          <cell r="L79">
            <v>9</v>
          </cell>
          <cell r="M79">
            <v>2</v>
          </cell>
          <cell r="N79">
            <v>67.906876876666658</v>
          </cell>
        </row>
        <row r="80">
          <cell r="D80" t="str">
            <v>Luporini SP</v>
          </cell>
          <cell r="E80">
            <v>0</v>
          </cell>
          <cell r="F80">
            <v>0</v>
          </cell>
          <cell r="G80">
            <v>5</v>
          </cell>
          <cell r="H80">
            <v>0</v>
          </cell>
          <cell r="I80">
            <v>0</v>
          </cell>
          <cell r="J80">
            <v>5</v>
          </cell>
          <cell r="K80">
            <v>0</v>
          </cell>
          <cell r="L80">
            <v>5</v>
          </cell>
          <cell r="M80">
            <v>-5</v>
          </cell>
          <cell r="N80">
            <v>-5.0080000000000003E-4</v>
          </cell>
        </row>
        <row r="81">
          <cell r="D81" t="str">
            <v>Léo Carioca SP</v>
          </cell>
          <cell r="E81">
            <v>6.6666666666666666E-2</v>
          </cell>
          <cell r="F81">
            <v>1</v>
          </cell>
          <cell r="G81">
            <v>5</v>
          </cell>
          <cell r="H81">
            <v>0</v>
          </cell>
          <cell r="I81">
            <v>1</v>
          </cell>
          <cell r="J81">
            <v>4</v>
          </cell>
          <cell r="K81">
            <v>5</v>
          </cell>
          <cell r="L81">
            <v>14</v>
          </cell>
          <cell r="M81">
            <v>-9</v>
          </cell>
          <cell r="N81">
            <v>6.7657708566666663</v>
          </cell>
        </row>
        <row r="82">
          <cell r="D82" t="str">
            <v>Giuseppe AM</v>
          </cell>
          <cell r="E82">
            <v>0.33333333333333331</v>
          </cell>
          <cell r="F82">
            <v>6</v>
          </cell>
          <cell r="G82">
            <v>6</v>
          </cell>
          <cell r="H82">
            <v>2</v>
          </cell>
          <cell r="I82">
            <v>0</v>
          </cell>
          <cell r="J82">
            <v>4</v>
          </cell>
          <cell r="K82">
            <v>6</v>
          </cell>
          <cell r="L82">
            <v>9</v>
          </cell>
          <cell r="M82">
            <v>-3</v>
          </cell>
          <cell r="N82">
            <v>33.953038513333333</v>
          </cell>
        </row>
        <row r="83">
          <cell r="D83" t="str">
            <v>Flávio Oliveira DF</v>
          </cell>
          <cell r="E83">
            <v>0.44444444444444442</v>
          </cell>
          <cell r="F83">
            <v>8</v>
          </cell>
          <cell r="G83">
            <v>6</v>
          </cell>
          <cell r="H83">
            <v>2</v>
          </cell>
          <cell r="I83">
            <v>2</v>
          </cell>
          <cell r="J83">
            <v>2</v>
          </cell>
          <cell r="K83">
            <v>8</v>
          </cell>
          <cell r="L83">
            <v>9</v>
          </cell>
          <cell r="M83">
            <v>-1</v>
          </cell>
          <cell r="N83">
            <v>45.264351614444443</v>
          </cell>
        </row>
        <row r="84">
          <cell r="D84" t="str">
            <v>Fábio Batista SC</v>
          </cell>
          <cell r="E84">
            <v>0.83333333333333337</v>
          </cell>
          <cell r="F84">
            <v>15</v>
          </cell>
          <cell r="G84">
            <v>6</v>
          </cell>
          <cell r="H84">
            <v>5</v>
          </cell>
          <cell r="I84">
            <v>0</v>
          </cell>
          <cell r="J84">
            <v>1</v>
          </cell>
          <cell r="K84">
            <v>14</v>
          </cell>
          <cell r="L84">
            <v>9</v>
          </cell>
          <cell r="M84">
            <v>5</v>
          </cell>
          <cell r="N84">
            <v>84.883846493333351</v>
          </cell>
        </row>
        <row r="86">
          <cell r="D86" t="str">
            <v>Atletas</v>
          </cell>
          <cell r="E86" t="str">
            <v>%AP</v>
          </cell>
          <cell r="F86" t="str">
            <v>PTS</v>
          </cell>
          <cell r="G86" t="str">
            <v>J</v>
          </cell>
          <cell r="H86" t="str">
            <v>V</v>
          </cell>
          <cell r="I86" t="str">
            <v>E</v>
          </cell>
          <cell r="J86" t="str">
            <v>D</v>
          </cell>
          <cell r="K86" t="str">
            <v>GP</v>
          </cell>
          <cell r="L86" t="str">
            <v>GC</v>
          </cell>
          <cell r="M86" t="str">
            <v>SG</v>
          </cell>
          <cell r="N86" t="str">
            <v>ID</v>
          </cell>
        </row>
        <row r="87">
          <cell r="D87" t="str">
            <v>André Araújo AM</v>
          </cell>
          <cell r="E87">
            <v>0.55555555555555558</v>
          </cell>
          <cell r="F87">
            <v>10</v>
          </cell>
          <cell r="G87">
            <v>6</v>
          </cell>
          <cell r="H87">
            <v>3</v>
          </cell>
          <cell r="I87">
            <v>1</v>
          </cell>
          <cell r="J87">
            <v>2</v>
          </cell>
          <cell r="K87">
            <v>8</v>
          </cell>
          <cell r="L87">
            <v>7</v>
          </cell>
          <cell r="M87">
            <v>1</v>
          </cell>
          <cell r="N87">
            <v>56.585662685555562</v>
          </cell>
        </row>
        <row r="88">
          <cell r="D88" t="str">
            <v>Cristiano MG</v>
          </cell>
          <cell r="E88">
            <v>0.22222222222222221</v>
          </cell>
          <cell r="F88">
            <v>4</v>
          </cell>
          <cell r="G88">
            <v>6</v>
          </cell>
          <cell r="H88">
            <v>1</v>
          </cell>
          <cell r="I88">
            <v>1</v>
          </cell>
          <cell r="J88">
            <v>4</v>
          </cell>
          <cell r="K88">
            <v>12</v>
          </cell>
          <cell r="L88">
            <v>14</v>
          </cell>
          <cell r="M88">
            <v>-2</v>
          </cell>
          <cell r="N88">
            <v>22.632033342222218</v>
          </cell>
        </row>
        <row r="89">
          <cell r="D89" t="str">
            <v>Rodrigo Costa RJ</v>
          </cell>
          <cell r="E89">
            <v>0.55555555555555558</v>
          </cell>
          <cell r="F89">
            <v>10</v>
          </cell>
          <cell r="G89">
            <v>6</v>
          </cell>
          <cell r="H89">
            <v>3</v>
          </cell>
          <cell r="I89">
            <v>1</v>
          </cell>
          <cell r="J89">
            <v>2</v>
          </cell>
          <cell r="K89">
            <v>9</v>
          </cell>
          <cell r="L89">
            <v>9</v>
          </cell>
          <cell r="M89">
            <v>0</v>
          </cell>
          <cell r="N89">
            <v>56.585563665555554</v>
          </cell>
        </row>
        <row r="90">
          <cell r="D90" t="str">
            <v>Barthez SP</v>
          </cell>
          <cell r="E90">
            <v>0.77777777777777779</v>
          </cell>
          <cell r="F90">
            <v>14</v>
          </cell>
          <cell r="G90">
            <v>6</v>
          </cell>
          <cell r="H90">
            <v>4</v>
          </cell>
          <cell r="I90">
            <v>2</v>
          </cell>
          <cell r="J90">
            <v>0</v>
          </cell>
          <cell r="K90">
            <v>11</v>
          </cell>
          <cell r="L90">
            <v>6</v>
          </cell>
          <cell r="M90">
            <v>5</v>
          </cell>
          <cell r="N90">
            <v>79.218287877777769</v>
          </cell>
        </row>
        <row r="91">
          <cell r="D91" t="str">
            <v>Diogo SP</v>
          </cell>
          <cell r="E91">
            <v>0.66666666666666663</v>
          </cell>
          <cell r="F91">
            <v>12</v>
          </cell>
          <cell r="G91">
            <v>6</v>
          </cell>
          <cell r="H91">
            <v>4</v>
          </cell>
          <cell r="I91">
            <v>0</v>
          </cell>
          <cell r="J91">
            <v>2</v>
          </cell>
          <cell r="K91">
            <v>9</v>
          </cell>
          <cell r="L91">
            <v>7</v>
          </cell>
          <cell r="M91">
            <v>2</v>
          </cell>
          <cell r="N91">
            <v>67.906874756666653</v>
          </cell>
        </row>
        <row r="92">
          <cell r="D92" t="str">
            <v>Flávio Campos DF</v>
          </cell>
          <cell r="E92">
            <v>0</v>
          </cell>
          <cell r="F92">
            <v>0</v>
          </cell>
          <cell r="G92">
            <v>6</v>
          </cell>
          <cell r="H92">
            <v>0</v>
          </cell>
          <cell r="I92">
            <v>0</v>
          </cell>
          <cell r="J92">
            <v>6</v>
          </cell>
          <cell r="K92">
            <v>3</v>
          </cell>
          <cell r="L92">
            <v>13</v>
          </cell>
          <cell r="M92">
            <v>-10</v>
          </cell>
          <cell r="N92">
            <v>-9.9792000000000001E-4</v>
          </cell>
        </row>
        <row r="93">
          <cell r="D93" t="str">
            <v>Gabriel Lisboa PA</v>
          </cell>
          <cell r="E93">
            <v>0.55555555555555558</v>
          </cell>
          <cell r="F93">
            <v>10</v>
          </cell>
          <cell r="G93">
            <v>6</v>
          </cell>
          <cell r="H93">
            <v>3</v>
          </cell>
          <cell r="I93">
            <v>1</v>
          </cell>
          <cell r="J93">
            <v>2</v>
          </cell>
          <cell r="K93">
            <v>10</v>
          </cell>
          <cell r="L93">
            <v>6</v>
          </cell>
          <cell r="M93">
            <v>4</v>
          </cell>
          <cell r="N93">
            <v>56.585964625555562</v>
          </cell>
        </row>
        <row r="95">
          <cell r="D95" t="str">
            <v>Atletas</v>
          </cell>
          <cell r="E95" t="str">
            <v>%AP</v>
          </cell>
          <cell r="F95" t="str">
            <v>PTS</v>
          </cell>
          <cell r="G95" t="str">
            <v>J</v>
          </cell>
          <cell r="H95" t="str">
            <v>V</v>
          </cell>
          <cell r="I95" t="str">
            <v>E</v>
          </cell>
          <cell r="J95" t="str">
            <v>D</v>
          </cell>
          <cell r="K95" t="str">
            <v>GP</v>
          </cell>
          <cell r="L95" t="str">
            <v>GC</v>
          </cell>
          <cell r="M95" t="str">
            <v>SG</v>
          </cell>
          <cell r="N95" t="str">
            <v>ID</v>
          </cell>
        </row>
        <row r="96">
          <cell r="D96" t="str">
            <v>Pitico RJ</v>
          </cell>
          <cell r="E96">
            <v>0.88888888888888884</v>
          </cell>
          <cell r="F96">
            <v>16</v>
          </cell>
          <cell r="G96">
            <v>6</v>
          </cell>
          <cell r="H96">
            <v>5</v>
          </cell>
          <cell r="I96">
            <v>1</v>
          </cell>
          <cell r="J96">
            <v>0</v>
          </cell>
          <cell r="K96">
            <v>23</v>
          </cell>
          <cell r="L96">
            <v>9</v>
          </cell>
          <cell r="M96">
            <v>14</v>
          </cell>
          <cell r="N96">
            <v>90.540310928888886</v>
          </cell>
        </row>
        <row r="97">
          <cell r="D97" t="str">
            <v>Cleciano RJ</v>
          </cell>
          <cell r="E97">
            <v>0.72222222222222221</v>
          </cell>
          <cell r="F97">
            <v>13</v>
          </cell>
          <cell r="G97">
            <v>6</v>
          </cell>
          <cell r="H97">
            <v>4</v>
          </cell>
          <cell r="I97">
            <v>1</v>
          </cell>
          <cell r="J97">
            <v>1</v>
          </cell>
          <cell r="K97">
            <v>18</v>
          </cell>
          <cell r="L97">
            <v>9</v>
          </cell>
          <cell r="M97">
            <v>9</v>
          </cell>
          <cell r="N97">
            <v>73.563139252222228</v>
          </cell>
        </row>
        <row r="98">
          <cell r="D98" t="str">
            <v>Bruno Calinçane MG</v>
          </cell>
          <cell r="E98">
            <v>0.44444444444444442</v>
          </cell>
          <cell r="F98">
            <v>8</v>
          </cell>
          <cell r="G98">
            <v>6</v>
          </cell>
          <cell r="H98">
            <v>2</v>
          </cell>
          <cell r="I98">
            <v>2</v>
          </cell>
          <cell r="J98">
            <v>2</v>
          </cell>
          <cell r="K98">
            <v>12</v>
          </cell>
          <cell r="L98">
            <v>9</v>
          </cell>
          <cell r="M98">
            <v>3</v>
          </cell>
          <cell r="N98">
            <v>45.264755464444434</v>
          </cell>
        </row>
        <row r="99">
          <cell r="D99" t="str">
            <v>Mura SP</v>
          </cell>
          <cell r="E99">
            <v>0.5</v>
          </cell>
          <cell r="F99">
            <v>9</v>
          </cell>
          <cell r="G99">
            <v>6</v>
          </cell>
          <cell r="H99">
            <v>2</v>
          </cell>
          <cell r="I99">
            <v>3</v>
          </cell>
          <cell r="J99">
            <v>1</v>
          </cell>
          <cell r="K99">
            <v>9</v>
          </cell>
          <cell r="L99">
            <v>8</v>
          </cell>
          <cell r="M99">
            <v>1</v>
          </cell>
          <cell r="N99">
            <v>50.92010801</v>
          </cell>
        </row>
        <row r="100">
          <cell r="D100" t="str">
            <v>Luis Eduardo AM</v>
          </cell>
          <cell r="E100">
            <v>0.44444444444444442</v>
          </cell>
          <cell r="F100">
            <v>8</v>
          </cell>
          <cell r="G100">
            <v>6</v>
          </cell>
          <cell r="H100">
            <v>2</v>
          </cell>
          <cell r="I100">
            <v>2</v>
          </cell>
          <cell r="J100">
            <v>2</v>
          </cell>
          <cell r="K100">
            <v>8</v>
          </cell>
          <cell r="L100">
            <v>9</v>
          </cell>
          <cell r="M100">
            <v>-1</v>
          </cell>
          <cell r="N100">
            <v>45.264351444444443</v>
          </cell>
        </row>
        <row r="101">
          <cell r="D101" t="str">
            <v>Chicones DF</v>
          </cell>
          <cell r="E101">
            <v>0</v>
          </cell>
          <cell r="F101">
            <v>0</v>
          </cell>
          <cell r="G101">
            <v>6</v>
          </cell>
          <cell r="H101">
            <v>0</v>
          </cell>
          <cell r="I101">
            <v>0</v>
          </cell>
          <cell r="J101">
            <v>6</v>
          </cell>
          <cell r="K101">
            <v>0</v>
          </cell>
          <cell r="L101">
            <v>17</v>
          </cell>
          <cell r="M101">
            <v>-17</v>
          </cell>
          <cell r="N101">
            <v>-1.70101E-3</v>
          </cell>
        </row>
        <row r="102">
          <cell r="D102" t="str">
            <v>Gabriela PA</v>
          </cell>
          <cell r="E102">
            <v>0.22222222222222221</v>
          </cell>
          <cell r="F102">
            <v>4</v>
          </cell>
          <cell r="G102">
            <v>6</v>
          </cell>
          <cell r="H102">
            <v>1</v>
          </cell>
          <cell r="I102">
            <v>1</v>
          </cell>
          <cell r="J102">
            <v>4</v>
          </cell>
          <cell r="K102">
            <v>6</v>
          </cell>
          <cell r="L102">
            <v>15</v>
          </cell>
          <cell r="M102">
            <v>-9</v>
          </cell>
          <cell r="N102">
            <v>22.63132720222222</v>
          </cell>
        </row>
        <row r="104">
          <cell r="D104" t="str">
            <v>Atletas</v>
          </cell>
          <cell r="E104" t="str">
            <v>%AP</v>
          </cell>
          <cell r="F104" t="str">
            <v>PTS</v>
          </cell>
          <cell r="G104" t="str">
            <v>J</v>
          </cell>
          <cell r="H104" t="str">
            <v>V</v>
          </cell>
          <cell r="I104" t="str">
            <v>E</v>
          </cell>
          <cell r="J104" t="str">
            <v>D</v>
          </cell>
          <cell r="K104" t="str">
            <v>GP</v>
          </cell>
          <cell r="L104" t="str">
            <v>GC</v>
          </cell>
          <cell r="M104" t="str">
            <v>SG</v>
          </cell>
          <cell r="N104" t="str">
            <v>ID</v>
          </cell>
        </row>
        <row r="105">
          <cell r="D105" t="str">
            <v>Capela SC</v>
          </cell>
          <cell r="E105">
            <v>0.88888888888888884</v>
          </cell>
          <cell r="F105">
            <v>16</v>
          </cell>
          <cell r="G105">
            <v>6</v>
          </cell>
          <cell r="H105">
            <v>5</v>
          </cell>
          <cell r="I105">
            <v>1</v>
          </cell>
          <cell r="J105">
            <v>0</v>
          </cell>
          <cell r="K105">
            <v>13</v>
          </cell>
          <cell r="L105">
            <v>5</v>
          </cell>
          <cell r="M105">
            <v>8</v>
          </cell>
          <cell r="N105">
            <v>90.539700838888891</v>
          </cell>
        </row>
        <row r="106">
          <cell r="D106" t="str">
            <v>-</v>
          </cell>
          <cell r="E106">
            <v>0</v>
          </cell>
          <cell r="F106">
            <v>0</v>
          </cell>
          <cell r="G106">
            <v>54</v>
          </cell>
          <cell r="H106">
            <v>0</v>
          </cell>
          <cell r="I106">
            <v>0</v>
          </cell>
          <cell r="J106">
            <v>54</v>
          </cell>
          <cell r="K106">
            <v>0</v>
          </cell>
          <cell r="L106">
            <v>54</v>
          </cell>
          <cell r="M106">
            <v>-54</v>
          </cell>
          <cell r="N106">
            <v>-5.4010600000000001E-3</v>
          </cell>
        </row>
        <row r="107">
          <cell r="D107" t="str">
            <v>Fábio Fortes RS</v>
          </cell>
          <cell r="E107">
            <v>0.27777777777777779</v>
          </cell>
          <cell r="F107">
            <v>5</v>
          </cell>
          <cell r="G107">
            <v>6</v>
          </cell>
          <cell r="H107">
            <v>1</v>
          </cell>
          <cell r="I107">
            <v>2</v>
          </cell>
          <cell r="J107">
            <v>3</v>
          </cell>
          <cell r="K107">
            <v>4</v>
          </cell>
          <cell r="L107">
            <v>13</v>
          </cell>
          <cell r="M107">
            <v>-9</v>
          </cell>
          <cell r="N107">
            <v>28.28688070777778</v>
          </cell>
        </row>
        <row r="108">
          <cell r="D108" t="str">
            <v>Erismar SP</v>
          </cell>
          <cell r="E108">
            <v>0.27777777777777779</v>
          </cell>
          <cell r="F108">
            <v>5</v>
          </cell>
          <cell r="G108">
            <v>6</v>
          </cell>
          <cell r="H108">
            <v>1</v>
          </cell>
          <cell r="I108">
            <v>2</v>
          </cell>
          <cell r="J108">
            <v>3</v>
          </cell>
          <cell r="K108">
            <v>8</v>
          </cell>
          <cell r="L108">
            <v>12</v>
          </cell>
          <cell r="M108">
            <v>-4</v>
          </cell>
          <cell r="N108">
            <v>28.287384697777778</v>
          </cell>
        </row>
        <row r="109">
          <cell r="D109" t="str">
            <v>Marcel AM</v>
          </cell>
          <cell r="E109">
            <v>0.72222222222222221</v>
          </cell>
          <cell r="F109">
            <v>13</v>
          </cell>
          <cell r="G109">
            <v>6</v>
          </cell>
          <cell r="H109">
            <v>4</v>
          </cell>
          <cell r="I109">
            <v>1</v>
          </cell>
          <cell r="J109">
            <v>1</v>
          </cell>
          <cell r="K109">
            <v>14</v>
          </cell>
          <cell r="L109">
            <v>7</v>
          </cell>
          <cell r="M109">
            <v>7</v>
          </cell>
          <cell r="N109">
            <v>73.562935132222222</v>
          </cell>
        </row>
        <row r="110">
          <cell r="D110" t="str">
            <v>Belga RJ</v>
          </cell>
          <cell r="E110">
            <v>0.55555555555555558</v>
          </cell>
          <cell r="F110">
            <v>10</v>
          </cell>
          <cell r="G110">
            <v>6</v>
          </cell>
          <cell r="H110">
            <v>3</v>
          </cell>
          <cell r="I110">
            <v>1</v>
          </cell>
          <cell r="J110">
            <v>2</v>
          </cell>
          <cell r="K110">
            <v>11</v>
          </cell>
          <cell r="L110">
            <v>11</v>
          </cell>
          <cell r="M110">
            <v>0</v>
          </cell>
          <cell r="N110">
            <v>56.58556545555556</v>
          </cell>
        </row>
        <row r="111">
          <cell r="D111" t="str">
            <v>Marco Lomba SC</v>
          </cell>
          <cell r="E111">
            <v>0.55555555555555558</v>
          </cell>
          <cell r="F111">
            <v>10</v>
          </cell>
          <cell r="G111">
            <v>6</v>
          </cell>
          <cell r="H111">
            <v>3</v>
          </cell>
          <cell r="I111">
            <v>1</v>
          </cell>
          <cell r="J111">
            <v>2</v>
          </cell>
          <cell r="K111">
            <v>12</v>
          </cell>
          <cell r="L111">
            <v>8</v>
          </cell>
          <cell r="M111">
            <v>4</v>
          </cell>
          <cell r="N111">
            <v>56.585966445555563</v>
          </cell>
        </row>
        <row r="113">
          <cell r="D113" t="str">
            <v>Atletas</v>
          </cell>
          <cell r="E113" t="str">
            <v>%AP</v>
          </cell>
          <cell r="F113" t="str">
            <v>PTS</v>
          </cell>
          <cell r="G113" t="str">
            <v>J</v>
          </cell>
          <cell r="H113" t="str">
            <v>V</v>
          </cell>
          <cell r="I113" t="str">
            <v>E</v>
          </cell>
          <cell r="J113" t="str">
            <v>D</v>
          </cell>
          <cell r="K113" t="str">
            <v>GP</v>
          </cell>
          <cell r="L113" t="str">
            <v>GC</v>
          </cell>
          <cell r="M113" t="str">
            <v>SG</v>
          </cell>
          <cell r="N113" t="str">
            <v>ID</v>
          </cell>
        </row>
        <row r="114">
          <cell r="D114" t="str">
            <v>João Paulo MG</v>
          </cell>
          <cell r="E114">
            <v>0.77777777777777779</v>
          </cell>
          <cell r="F114">
            <v>14</v>
          </cell>
          <cell r="G114">
            <v>6</v>
          </cell>
          <cell r="H114">
            <v>4</v>
          </cell>
          <cell r="I114">
            <v>2</v>
          </cell>
          <cell r="J114">
            <v>0</v>
          </cell>
          <cell r="K114">
            <v>7</v>
          </cell>
          <cell r="L114">
            <v>1</v>
          </cell>
          <cell r="M114">
            <v>6</v>
          </cell>
          <cell r="N114">
            <v>79.218383637777777</v>
          </cell>
        </row>
        <row r="115">
          <cell r="D115" t="str">
            <v>Tabajara SP</v>
          </cell>
          <cell r="E115">
            <v>0.5</v>
          </cell>
          <cell r="F115">
            <v>9</v>
          </cell>
          <cell r="G115">
            <v>6</v>
          </cell>
          <cell r="H115">
            <v>2</v>
          </cell>
          <cell r="I115">
            <v>3</v>
          </cell>
          <cell r="J115">
            <v>1</v>
          </cell>
          <cell r="K115">
            <v>14</v>
          </cell>
          <cell r="L115">
            <v>6</v>
          </cell>
          <cell r="M115">
            <v>8</v>
          </cell>
          <cell r="N115">
            <v>50.920812849999997</v>
          </cell>
        </row>
        <row r="116">
          <cell r="D116" t="str">
            <v>Marcelinho RJ</v>
          </cell>
          <cell r="E116">
            <v>0.55555555555555558</v>
          </cell>
          <cell r="F116">
            <v>10</v>
          </cell>
          <cell r="G116">
            <v>6</v>
          </cell>
          <cell r="H116">
            <v>2</v>
          </cell>
          <cell r="I116">
            <v>4</v>
          </cell>
          <cell r="J116">
            <v>0</v>
          </cell>
          <cell r="K116">
            <v>11</v>
          </cell>
          <cell r="L116">
            <v>6</v>
          </cell>
          <cell r="M116">
            <v>5</v>
          </cell>
          <cell r="N116">
            <v>56.57606539555556</v>
          </cell>
        </row>
        <row r="117">
          <cell r="D117" t="str">
            <v>Sérgio Barreira SP</v>
          </cell>
          <cell r="E117">
            <v>0.3888888888888889</v>
          </cell>
          <cell r="F117">
            <v>7</v>
          </cell>
          <cell r="G117">
            <v>6</v>
          </cell>
          <cell r="H117">
            <v>1</v>
          </cell>
          <cell r="I117">
            <v>4</v>
          </cell>
          <cell r="J117">
            <v>1</v>
          </cell>
          <cell r="K117">
            <v>5</v>
          </cell>
          <cell r="L117">
            <v>5</v>
          </cell>
          <cell r="M117">
            <v>0</v>
          </cell>
          <cell r="N117">
            <v>39.598892718888891</v>
          </cell>
        </row>
        <row r="118">
          <cell r="D118" t="str">
            <v>Ivan Falcão AM</v>
          </cell>
          <cell r="E118">
            <v>0.3888888888888889</v>
          </cell>
          <cell r="F118">
            <v>7</v>
          </cell>
          <cell r="G118">
            <v>6</v>
          </cell>
          <cell r="H118">
            <v>1</v>
          </cell>
          <cell r="I118">
            <v>4</v>
          </cell>
          <cell r="J118">
            <v>1</v>
          </cell>
          <cell r="K118">
            <v>4</v>
          </cell>
          <cell r="L118">
            <v>8</v>
          </cell>
          <cell r="M118">
            <v>-4</v>
          </cell>
          <cell r="N118">
            <v>39.598491708888886</v>
          </cell>
        </row>
        <row r="119">
          <cell r="D119" t="str">
            <v>Bispo RJ</v>
          </cell>
          <cell r="E119">
            <v>5.5555555555555552E-2</v>
          </cell>
          <cell r="F119">
            <v>1</v>
          </cell>
          <cell r="G119">
            <v>6</v>
          </cell>
          <cell r="H119">
            <v>0</v>
          </cell>
          <cell r="I119">
            <v>1</v>
          </cell>
          <cell r="J119">
            <v>5</v>
          </cell>
          <cell r="K119">
            <v>0</v>
          </cell>
          <cell r="L119">
            <v>9</v>
          </cell>
          <cell r="M119">
            <v>-9</v>
          </cell>
          <cell r="N119">
            <v>5.6546543655555555</v>
          </cell>
        </row>
        <row r="120">
          <cell r="D120" t="str">
            <v>George Aguiar SC</v>
          </cell>
          <cell r="E120">
            <v>0.27777777777777779</v>
          </cell>
          <cell r="F120">
            <v>5</v>
          </cell>
          <cell r="G120">
            <v>6</v>
          </cell>
          <cell r="H120">
            <v>1</v>
          </cell>
          <cell r="I120">
            <v>2</v>
          </cell>
          <cell r="J120">
            <v>3</v>
          </cell>
          <cell r="K120">
            <v>1</v>
          </cell>
          <cell r="L120">
            <v>7</v>
          </cell>
          <cell r="M120">
            <v>-6</v>
          </cell>
          <cell r="N120">
            <v>28.287177577777779</v>
          </cell>
        </row>
        <row r="122">
          <cell r="D122" t="str">
            <v>Atletas</v>
          </cell>
          <cell r="E122" t="str">
            <v>%AP</v>
          </cell>
          <cell r="F122" t="str">
            <v>PTS</v>
          </cell>
          <cell r="G122" t="str">
            <v>J</v>
          </cell>
          <cell r="H122" t="str">
            <v>V</v>
          </cell>
          <cell r="I122" t="str">
            <v>E</v>
          </cell>
          <cell r="J122" t="str">
            <v>D</v>
          </cell>
          <cell r="K122" t="str">
            <v>GP</v>
          </cell>
          <cell r="L122" t="str">
            <v>GC</v>
          </cell>
          <cell r="M122" t="str">
            <v>SG</v>
          </cell>
          <cell r="N122" t="str">
            <v>ID</v>
          </cell>
        </row>
        <row r="123">
          <cell r="D123" t="str">
            <v>Ronald Neri RJ</v>
          </cell>
          <cell r="E123">
            <v>0.72222222222222221</v>
          </cell>
          <cell r="F123">
            <v>13</v>
          </cell>
          <cell r="G123">
            <v>6</v>
          </cell>
          <cell r="H123">
            <v>4</v>
          </cell>
          <cell r="I123">
            <v>1</v>
          </cell>
          <cell r="J123">
            <v>1</v>
          </cell>
          <cell r="K123">
            <v>21</v>
          </cell>
          <cell r="L123">
            <v>11</v>
          </cell>
          <cell r="M123">
            <v>10</v>
          </cell>
          <cell r="N123">
            <v>73.563241992222231</v>
          </cell>
        </row>
        <row r="124">
          <cell r="D124" t="str">
            <v>César Muniz RJ</v>
          </cell>
          <cell r="E124">
            <v>0.22222222222222221</v>
          </cell>
          <cell r="F124">
            <v>4</v>
          </cell>
          <cell r="G124">
            <v>6</v>
          </cell>
          <cell r="H124">
            <v>1</v>
          </cell>
          <cell r="I124">
            <v>1</v>
          </cell>
          <cell r="J124">
            <v>4</v>
          </cell>
          <cell r="K124">
            <v>6</v>
          </cell>
          <cell r="L124">
            <v>16</v>
          </cell>
          <cell r="M124">
            <v>-10</v>
          </cell>
          <cell r="N124">
            <v>22.63122698222222</v>
          </cell>
        </row>
        <row r="125">
          <cell r="D125" t="str">
            <v>Tarouca RJ</v>
          </cell>
          <cell r="E125">
            <v>0.61111111111111116</v>
          </cell>
          <cell r="F125">
            <v>11</v>
          </cell>
          <cell r="G125">
            <v>6</v>
          </cell>
          <cell r="H125">
            <v>3</v>
          </cell>
          <cell r="I125">
            <v>2</v>
          </cell>
          <cell r="J125">
            <v>1</v>
          </cell>
          <cell r="K125">
            <v>14</v>
          </cell>
          <cell r="L125">
            <v>10</v>
          </cell>
          <cell r="M125">
            <v>4</v>
          </cell>
          <cell r="N125">
            <v>62.241523861111119</v>
          </cell>
        </row>
        <row r="126">
          <cell r="D126" t="str">
            <v>-</v>
          </cell>
          <cell r="E126">
            <v>0</v>
          </cell>
          <cell r="F126">
            <v>0</v>
          </cell>
          <cell r="G126">
            <v>54</v>
          </cell>
          <cell r="H126">
            <v>0</v>
          </cell>
          <cell r="I126">
            <v>0</v>
          </cell>
          <cell r="J126">
            <v>54</v>
          </cell>
          <cell r="K126">
            <v>0</v>
          </cell>
          <cell r="L126">
            <v>54</v>
          </cell>
          <cell r="M126">
            <v>-54</v>
          </cell>
          <cell r="N126">
            <v>-5.4012600000000006E-3</v>
          </cell>
        </row>
        <row r="127">
          <cell r="D127" t="str">
            <v>Israel RJ</v>
          </cell>
          <cell r="E127">
            <v>0.55555555555555558</v>
          </cell>
          <cell r="F127">
            <v>10</v>
          </cell>
          <cell r="G127">
            <v>6</v>
          </cell>
          <cell r="H127">
            <v>3</v>
          </cell>
          <cell r="I127">
            <v>1</v>
          </cell>
          <cell r="J127">
            <v>2</v>
          </cell>
          <cell r="K127">
            <v>12</v>
          </cell>
          <cell r="L127">
            <v>15</v>
          </cell>
          <cell r="M127">
            <v>-3</v>
          </cell>
          <cell r="N127">
            <v>56.585266285555562</v>
          </cell>
        </row>
        <row r="128">
          <cell r="D128" t="str">
            <v>Marcus Ohya PR</v>
          </cell>
          <cell r="E128">
            <v>0.3888888888888889</v>
          </cell>
          <cell r="F128">
            <v>7</v>
          </cell>
          <cell r="G128">
            <v>6</v>
          </cell>
          <cell r="H128">
            <v>2</v>
          </cell>
          <cell r="I128">
            <v>1</v>
          </cell>
          <cell r="J128">
            <v>3</v>
          </cell>
          <cell r="K128">
            <v>11</v>
          </cell>
          <cell r="L128">
            <v>15</v>
          </cell>
          <cell r="M128">
            <v>-4</v>
          </cell>
          <cell r="N128">
            <v>39.608498608888887</v>
          </cell>
        </row>
        <row r="129">
          <cell r="D129" t="str">
            <v>Kaka RJ</v>
          </cell>
          <cell r="E129">
            <v>0.83333333333333337</v>
          </cell>
          <cell r="F129">
            <v>15</v>
          </cell>
          <cell r="G129">
            <v>6</v>
          </cell>
          <cell r="H129">
            <v>5</v>
          </cell>
          <cell r="I129">
            <v>0</v>
          </cell>
          <cell r="J129">
            <v>1</v>
          </cell>
          <cell r="K129">
            <v>19</v>
          </cell>
          <cell r="L129">
            <v>10</v>
          </cell>
          <cell r="M129">
            <v>9</v>
          </cell>
          <cell r="N129">
            <v>84.88425104333335</v>
          </cell>
        </row>
        <row r="131">
          <cell r="D131" t="str">
            <v>Atletas</v>
          </cell>
          <cell r="E131" t="str">
            <v>%AP</v>
          </cell>
          <cell r="F131" t="str">
            <v>PTS</v>
          </cell>
          <cell r="G131" t="str">
            <v>J</v>
          </cell>
          <cell r="H131" t="str">
            <v>V</v>
          </cell>
          <cell r="I131" t="str">
            <v>E</v>
          </cell>
          <cell r="J131" t="str">
            <v>D</v>
          </cell>
          <cell r="K131" t="str">
            <v>GP</v>
          </cell>
          <cell r="L131" t="str">
            <v>GC</v>
          </cell>
          <cell r="M131" t="str">
            <v>SG</v>
          </cell>
          <cell r="N131" t="str">
            <v>ID</v>
          </cell>
        </row>
        <row r="132">
          <cell r="D132" t="str">
            <v>Brayner RJ</v>
          </cell>
          <cell r="E132">
            <v>0.83333333333333337</v>
          </cell>
          <cell r="F132">
            <v>15</v>
          </cell>
          <cell r="G132">
            <v>6</v>
          </cell>
          <cell r="H132">
            <v>5</v>
          </cell>
          <cell r="I132">
            <v>0</v>
          </cell>
          <cell r="J132">
            <v>1</v>
          </cell>
          <cell r="K132">
            <v>18</v>
          </cell>
          <cell r="L132">
            <v>8</v>
          </cell>
          <cell r="M132">
            <v>10</v>
          </cell>
          <cell r="N132">
            <v>84.884350013333346</v>
          </cell>
        </row>
        <row r="133">
          <cell r="D133" t="str">
            <v>Carlão PA</v>
          </cell>
          <cell r="E133">
            <v>0.33333333333333331</v>
          </cell>
          <cell r="F133">
            <v>6</v>
          </cell>
          <cell r="G133">
            <v>6</v>
          </cell>
          <cell r="H133">
            <v>1</v>
          </cell>
          <cell r="I133">
            <v>3</v>
          </cell>
          <cell r="J133">
            <v>2</v>
          </cell>
          <cell r="K133">
            <v>10</v>
          </cell>
          <cell r="L133">
            <v>11</v>
          </cell>
          <cell r="M133">
            <v>-1</v>
          </cell>
          <cell r="N133">
            <v>33.943242003333324</v>
          </cell>
        </row>
        <row r="134">
          <cell r="D134" t="str">
            <v>João Marcelo MG</v>
          </cell>
          <cell r="E134">
            <v>0.44444444444444442</v>
          </cell>
          <cell r="F134">
            <v>8</v>
          </cell>
          <cell r="G134">
            <v>6</v>
          </cell>
          <cell r="H134">
            <v>2</v>
          </cell>
          <cell r="I134">
            <v>2</v>
          </cell>
          <cell r="J134">
            <v>2</v>
          </cell>
          <cell r="K134">
            <v>8</v>
          </cell>
          <cell r="L134">
            <v>9</v>
          </cell>
          <cell r="M134">
            <v>-1</v>
          </cell>
          <cell r="N134">
            <v>45.264351104444444</v>
          </cell>
        </row>
        <row r="135">
          <cell r="D135" t="str">
            <v>Betaressi SP</v>
          </cell>
          <cell r="E135">
            <v>0.27777777777777779</v>
          </cell>
          <cell r="F135">
            <v>5</v>
          </cell>
          <cell r="G135">
            <v>6</v>
          </cell>
          <cell r="H135">
            <v>1</v>
          </cell>
          <cell r="I135">
            <v>2</v>
          </cell>
          <cell r="J135">
            <v>3</v>
          </cell>
          <cell r="K135">
            <v>5</v>
          </cell>
          <cell r="L135">
            <v>7</v>
          </cell>
          <cell r="M135">
            <v>-2</v>
          </cell>
          <cell r="N135">
            <v>28.287581427777777</v>
          </cell>
        </row>
        <row r="136">
          <cell r="D136" t="str">
            <v>Rafael Flor RS</v>
          </cell>
          <cell r="E136">
            <v>0.72222222222222221</v>
          </cell>
          <cell r="F136">
            <v>13</v>
          </cell>
          <cell r="G136">
            <v>6</v>
          </cell>
          <cell r="H136">
            <v>4</v>
          </cell>
          <cell r="I136">
            <v>1</v>
          </cell>
          <cell r="J136">
            <v>1</v>
          </cell>
          <cell r="K136">
            <v>12</v>
          </cell>
          <cell r="L136">
            <v>10</v>
          </cell>
          <cell r="M136">
            <v>2</v>
          </cell>
          <cell r="N136">
            <v>73.562432862222224</v>
          </cell>
        </row>
        <row r="137">
          <cell r="D137" t="str">
            <v>Antonio RJ</v>
          </cell>
          <cell r="E137">
            <v>0.27777777777777779</v>
          </cell>
          <cell r="F137">
            <v>5</v>
          </cell>
          <cell r="G137">
            <v>6</v>
          </cell>
          <cell r="H137">
            <v>1</v>
          </cell>
          <cell r="I137">
            <v>2</v>
          </cell>
          <cell r="J137">
            <v>3</v>
          </cell>
          <cell r="K137">
            <v>7</v>
          </cell>
          <cell r="L137">
            <v>12</v>
          </cell>
          <cell r="M137">
            <v>-5</v>
          </cell>
          <cell r="N137">
            <v>28.287283407777782</v>
          </cell>
        </row>
        <row r="138">
          <cell r="D138" t="str">
            <v>Valcy Jaques RJ</v>
          </cell>
          <cell r="E138">
            <v>0.33333333333333331</v>
          </cell>
          <cell r="F138">
            <v>6</v>
          </cell>
          <cell r="G138">
            <v>6</v>
          </cell>
          <cell r="H138">
            <v>2</v>
          </cell>
          <cell r="I138">
            <v>0</v>
          </cell>
          <cell r="J138">
            <v>4</v>
          </cell>
          <cell r="K138">
            <v>5</v>
          </cell>
          <cell r="L138">
            <v>8</v>
          </cell>
          <cell r="M138">
            <v>-3</v>
          </cell>
          <cell r="N138">
            <v>33.953036953333331</v>
          </cell>
        </row>
        <row r="140">
          <cell r="D140" t="str">
            <v>Atletas</v>
          </cell>
          <cell r="E140" t="str">
            <v>%AP</v>
          </cell>
          <cell r="F140" t="str">
            <v>PTS</v>
          </cell>
          <cell r="G140" t="str">
            <v>J</v>
          </cell>
          <cell r="H140" t="str">
            <v>V</v>
          </cell>
          <cell r="I140" t="str">
            <v>E</v>
          </cell>
          <cell r="J140" t="str">
            <v>D</v>
          </cell>
          <cell r="K140" t="str">
            <v>GP</v>
          </cell>
          <cell r="L140" t="str">
            <v>GC</v>
          </cell>
          <cell r="M140" t="str">
            <v>SG</v>
          </cell>
          <cell r="N140" t="str">
            <v>ID</v>
          </cell>
        </row>
        <row r="141">
          <cell r="D141" t="str">
            <v>Roberto Petrini PR</v>
          </cell>
          <cell r="E141">
            <v>0.22222222222222221</v>
          </cell>
          <cell r="F141">
            <v>4</v>
          </cell>
          <cell r="G141">
            <v>6</v>
          </cell>
          <cell r="H141">
            <v>0</v>
          </cell>
          <cell r="I141">
            <v>4</v>
          </cell>
          <cell r="J141">
            <v>2</v>
          </cell>
          <cell r="K141">
            <v>4</v>
          </cell>
          <cell r="L141">
            <v>8</v>
          </cell>
          <cell r="M141">
            <v>-4</v>
          </cell>
          <cell r="N141">
            <v>22.621824812222222</v>
          </cell>
        </row>
        <row r="142">
          <cell r="D142" t="str">
            <v>Praciano CE</v>
          </cell>
          <cell r="E142">
            <v>0.27777777777777779</v>
          </cell>
          <cell r="F142">
            <v>5</v>
          </cell>
          <cell r="G142">
            <v>6</v>
          </cell>
          <cell r="H142">
            <v>1</v>
          </cell>
          <cell r="I142">
            <v>2</v>
          </cell>
          <cell r="J142">
            <v>3</v>
          </cell>
          <cell r="K142">
            <v>12</v>
          </cell>
          <cell r="L142">
            <v>16</v>
          </cell>
          <cell r="M142">
            <v>-4</v>
          </cell>
          <cell r="N142">
            <v>28.287388357777779</v>
          </cell>
        </row>
        <row r="143">
          <cell r="D143" t="str">
            <v>Lian MG</v>
          </cell>
          <cell r="E143">
            <v>0.72222222222222221</v>
          </cell>
          <cell r="F143">
            <v>13</v>
          </cell>
          <cell r="G143">
            <v>6</v>
          </cell>
          <cell r="H143">
            <v>4</v>
          </cell>
          <cell r="I143">
            <v>1</v>
          </cell>
          <cell r="J143">
            <v>1</v>
          </cell>
          <cell r="K143">
            <v>13</v>
          </cell>
          <cell r="L143">
            <v>8</v>
          </cell>
          <cell r="M143">
            <v>5</v>
          </cell>
          <cell r="N143">
            <v>73.562733792222232</v>
          </cell>
        </row>
        <row r="144">
          <cell r="D144" t="str">
            <v>Zero SP</v>
          </cell>
          <cell r="E144">
            <v>0.33333333333333331</v>
          </cell>
          <cell r="F144">
            <v>6</v>
          </cell>
          <cell r="G144">
            <v>6</v>
          </cell>
          <cell r="H144">
            <v>1</v>
          </cell>
          <cell r="I144">
            <v>3</v>
          </cell>
          <cell r="J144">
            <v>2</v>
          </cell>
          <cell r="K144">
            <v>8</v>
          </cell>
          <cell r="L144">
            <v>9</v>
          </cell>
          <cell r="M144">
            <v>-1</v>
          </cell>
          <cell r="N144">
            <v>33.943239893333327</v>
          </cell>
        </row>
        <row r="145">
          <cell r="D145" t="str">
            <v>André Santos RJ</v>
          </cell>
          <cell r="E145">
            <v>0.44444444444444442</v>
          </cell>
          <cell r="F145">
            <v>8</v>
          </cell>
          <cell r="G145">
            <v>6</v>
          </cell>
          <cell r="H145">
            <v>2</v>
          </cell>
          <cell r="I145">
            <v>2</v>
          </cell>
          <cell r="J145">
            <v>2</v>
          </cell>
          <cell r="K145">
            <v>12</v>
          </cell>
          <cell r="L145">
            <v>13</v>
          </cell>
          <cell r="M145">
            <v>-1</v>
          </cell>
          <cell r="N145">
            <v>45.264354994444439</v>
          </cell>
        </row>
        <row r="146">
          <cell r="D146" t="str">
            <v>Tuca RJ</v>
          </cell>
          <cell r="E146">
            <v>0.61111111111111116</v>
          </cell>
          <cell r="F146">
            <v>11</v>
          </cell>
          <cell r="G146">
            <v>6</v>
          </cell>
          <cell r="H146">
            <v>3</v>
          </cell>
          <cell r="I146">
            <v>2</v>
          </cell>
          <cell r="J146">
            <v>1</v>
          </cell>
          <cell r="K146">
            <v>14</v>
          </cell>
          <cell r="L146">
            <v>9</v>
          </cell>
          <cell r="M146">
            <v>5</v>
          </cell>
          <cell r="N146">
            <v>62.241623651111119</v>
          </cell>
        </row>
        <row r="147">
          <cell r="D147" t="str">
            <v>Malvar RJ</v>
          </cell>
          <cell r="E147">
            <v>0.44444444444444442</v>
          </cell>
          <cell r="F147">
            <v>8</v>
          </cell>
          <cell r="G147">
            <v>6</v>
          </cell>
          <cell r="H147">
            <v>2</v>
          </cell>
          <cell r="I147">
            <v>2</v>
          </cell>
          <cell r="J147">
            <v>2</v>
          </cell>
          <cell r="K147">
            <v>12</v>
          </cell>
          <cell r="L147">
            <v>12</v>
          </cell>
          <cell r="M147">
            <v>0</v>
          </cell>
          <cell r="N147">
            <v>45.26445497444444</v>
          </cell>
        </row>
        <row r="149">
          <cell r="D149" t="str">
            <v>Atletas</v>
          </cell>
          <cell r="E149" t="str">
            <v>%AP</v>
          </cell>
          <cell r="F149" t="str">
            <v>PTS</v>
          </cell>
          <cell r="G149" t="str">
            <v>J</v>
          </cell>
          <cell r="H149" t="str">
            <v>V</v>
          </cell>
          <cell r="I149" t="str">
            <v>E</v>
          </cell>
          <cell r="J149" t="str">
            <v>D</v>
          </cell>
          <cell r="K149" t="str">
            <v>GP</v>
          </cell>
          <cell r="L149" t="str">
            <v>GC</v>
          </cell>
          <cell r="M149" t="str">
            <v>SG</v>
          </cell>
          <cell r="N149" t="str">
            <v>ID</v>
          </cell>
        </row>
        <row r="150">
          <cell r="D150" t="str">
            <v>Bruno Romar SP</v>
          </cell>
          <cell r="E150">
            <v>1</v>
          </cell>
          <cell r="F150">
            <v>18</v>
          </cell>
          <cell r="G150">
            <v>6</v>
          </cell>
          <cell r="H150">
            <v>6</v>
          </cell>
          <cell r="I150">
            <v>0</v>
          </cell>
          <cell r="J150">
            <v>0</v>
          </cell>
          <cell r="K150">
            <v>17</v>
          </cell>
          <cell r="L150">
            <v>10</v>
          </cell>
          <cell r="M150">
            <v>7</v>
          </cell>
          <cell r="N150">
            <v>101.8607155</v>
          </cell>
        </row>
        <row r="151">
          <cell r="D151" t="str">
            <v>Renato Souza MG</v>
          </cell>
          <cell r="E151">
            <v>0.5</v>
          </cell>
          <cell r="F151">
            <v>9</v>
          </cell>
          <cell r="G151">
            <v>6</v>
          </cell>
          <cell r="H151">
            <v>3</v>
          </cell>
          <cell r="I151">
            <v>0</v>
          </cell>
          <cell r="J151">
            <v>3</v>
          </cell>
          <cell r="K151">
            <v>10</v>
          </cell>
          <cell r="L151">
            <v>6</v>
          </cell>
          <cell r="M151">
            <v>4</v>
          </cell>
          <cell r="N151">
            <v>50.930408490000005</v>
          </cell>
        </row>
        <row r="152">
          <cell r="D152" t="str">
            <v>Claudio Jr MG</v>
          </cell>
          <cell r="E152">
            <v>0.83333333333333337</v>
          </cell>
          <cell r="F152">
            <v>15</v>
          </cell>
          <cell r="G152">
            <v>6</v>
          </cell>
          <cell r="H152">
            <v>5</v>
          </cell>
          <cell r="I152">
            <v>0</v>
          </cell>
          <cell r="J152">
            <v>1</v>
          </cell>
          <cell r="K152">
            <v>18</v>
          </cell>
          <cell r="L152">
            <v>6</v>
          </cell>
          <cell r="M152">
            <v>12</v>
          </cell>
          <cell r="N152">
            <v>84.884549813333351</v>
          </cell>
        </row>
        <row r="153">
          <cell r="D153" t="str">
            <v>Rodrigo Martins CE</v>
          </cell>
          <cell r="E153">
            <v>0.16666666666666666</v>
          </cell>
          <cell r="F153">
            <v>3</v>
          </cell>
          <cell r="G153">
            <v>6</v>
          </cell>
          <cell r="H153">
            <v>1</v>
          </cell>
          <cell r="I153">
            <v>0</v>
          </cell>
          <cell r="J153">
            <v>5</v>
          </cell>
          <cell r="K153">
            <v>5</v>
          </cell>
          <cell r="L153">
            <v>16</v>
          </cell>
          <cell r="M153">
            <v>-11</v>
          </cell>
          <cell r="N153">
            <v>16.975570136666665</v>
          </cell>
        </row>
        <row r="154">
          <cell r="D154" t="str">
            <v>Marcinho RJ</v>
          </cell>
          <cell r="E154">
            <v>0.5</v>
          </cell>
          <cell r="F154">
            <v>9</v>
          </cell>
          <cell r="G154">
            <v>6</v>
          </cell>
          <cell r="H154">
            <v>3</v>
          </cell>
          <cell r="I154">
            <v>0</v>
          </cell>
          <cell r="J154">
            <v>3</v>
          </cell>
          <cell r="K154">
            <v>15</v>
          </cell>
          <cell r="L154">
            <v>14</v>
          </cell>
          <cell r="M154">
            <v>1</v>
          </cell>
          <cell r="N154">
            <v>50.930113460000001</v>
          </cell>
        </row>
        <row r="155">
          <cell r="D155" t="str">
            <v>Alysson RJ</v>
          </cell>
          <cell r="E155">
            <v>0.5</v>
          </cell>
          <cell r="F155">
            <v>9</v>
          </cell>
          <cell r="G155">
            <v>6</v>
          </cell>
          <cell r="H155">
            <v>3</v>
          </cell>
          <cell r="I155">
            <v>0</v>
          </cell>
          <cell r="J155">
            <v>3</v>
          </cell>
          <cell r="K155">
            <v>14</v>
          </cell>
          <cell r="L155">
            <v>12</v>
          </cell>
          <cell r="M155">
            <v>2</v>
          </cell>
          <cell r="N155">
            <v>50.930212449999999</v>
          </cell>
        </row>
        <row r="156">
          <cell r="D156" t="str">
            <v>Lander GO</v>
          </cell>
          <cell r="E156">
            <v>0</v>
          </cell>
          <cell r="F156">
            <v>0</v>
          </cell>
          <cell r="G156">
            <v>6</v>
          </cell>
          <cell r="H156">
            <v>0</v>
          </cell>
          <cell r="I156">
            <v>0</v>
          </cell>
          <cell r="J156">
            <v>6</v>
          </cell>
          <cell r="K156">
            <v>4</v>
          </cell>
          <cell r="L156">
            <v>19</v>
          </cell>
          <cell r="M156">
            <v>-15</v>
          </cell>
          <cell r="N156">
            <v>-1.49756E-3</v>
          </cell>
        </row>
        <row r="158">
          <cell r="D158" t="str">
            <v>Atletas</v>
          </cell>
          <cell r="E158" t="str">
            <v>%AP</v>
          </cell>
          <cell r="F158" t="str">
            <v>PTS</v>
          </cell>
          <cell r="G158" t="str">
            <v>J</v>
          </cell>
          <cell r="H158" t="str">
            <v>V</v>
          </cell>
          <cell r="I158" t="str">
            <v>E</v>
          </cell>
          <cell r="J158" t="str">
            <v>D</v>
          </cell>
          <cell r="K158" t="str">
            <v>GP</v>
          </cell>
          <cell r="L158" t="str">
            <v>GC</v>
          </cell>
          <cell r="M158" t="str">
            <v>SG</v>
          </cell>
          <cell r="N158" t="str">
            <v>ID</v>
          </cell>
        </row>
        <row r="159">
          <cell r="D159" t="str">
            <v>Wellington RJ</v>
          </cell>
          <cell r="E159">
            <v>0.83333333333333337</v>
          </cell>
          <cell r="F159">
            <v>15</v>
          </cell>
          <cell r="G159">
            <v>6</v>
          </cell>
          <cell r="H159">
            <v>5</v>
          </cell>
          <cell r="I159">
            <v>0</v>
          </cell>
          <cell r="J159">
            <v>1</v>
          </cell>
          <cell r="K159">
            <v>17</v>
          </cell>
          <cell r="L159">
            <v>8</v>
          </cell>
          <cell r="M159">
            <v>9</v>
          </cell>
          <cell r="N159">
            <v>84.884248743333345</v>
          </cell>
        </row>
        <row r="160">
          <cell r="D160" t="str">
            <v>Almir RJ</v>
          </cell>
          <cell r="E160">
            <v>0.5</v>
          </cell>
          <cell r="F160">
            <v>9</v>
          </cell>
          <cell r="G160">
            <v>6</v>
          </cell>
          <cell r="H160">
            <v>3</v>
          </cell>
          <cell r="I160">
            <v>0</v>
          </cell>
          <cell r="J160">
            <v>3</v>
          </cell>
          <cell r="K160">
            <v>11</v>
          </cell>
          <cell r="L160">
            <v>12</v>
          </cell>
          <cell r="M160">
            <v>-1</v>
          </cell>
          <cell r="N160">
            <v>50.9299094</v>
          </cell>
        </row>
        <row r="161">
          <cell r="D161" t="str">
            <v>Carlos André MG</v>
          </cell>
          <cell r="E161">
            <v>0.16666666666666666</v>
          </cell>
          <cell r="F161">
            <v>3</v>
          </cell>
          <cell r="G161">
            <v>6</v>
          </cell>
          <cell r="H161">
            <v>0</v>
          </cell>
          <cell r="I161">
            <v>3</v>
          </cell>
          <cell r="J161">
            <v>3</v>
          </cell>
          <cell r="K161">
            <v>9</v>
          </cell>
          <cell r="L161">
            <v>12</v>
          </cell>
          <cell r="M161">
            <v>-3</v>
          </cell>
          <cell r="N161">
            <v>16.966374056666663</v>
          </cell>
        </row>
        <row r="162">
          <cell r="D162" t="str">
            <v>Alencar SP</v>
          </cell>
          <cell r="E162">
            <v>0.22222222222222221</v>
          </cell>
          <cell r="F162">
            <v>4</v>
          </cell>
          <cell r="G162">
            <v>6</v>
          </cell>
          <cell r="H162">
            <v>1</v>
          </cell>
          <cell r="I162">
            <v>1</v>
          </cell>
          <cell r="J162">
            <v>4</v>
          </cell>
          <cell r="K162">
            <v>6</v>
          </cell>
          <cell r="L162">
            <v>12</v>
          </cell>
          <cell r="M162">
            <v>-6</v>
          </cell>
          <cell r="N162">
            <v>22.631626602222219</v>
          </cell>
        </row>
        <row r="163">
          <cell r="D163" t="str">
            <v>Proença RJ</v>
          </cell>
          <cell r="E163">
            <v>0.44444444444444442</v>
          </cell>
          <cell r="F163">
            <v>8</v>
          </cell>
          <cell r="G163">
            <v>6</v>
          </cell>
          <cell r="H163">
            <v>2</v>
          </cell>
          <cell r="I163">
            <v>2</v>
          </cell>
          <cell r="J163">
            <v>2</v>
          </cell>
          <cell r="K163">
            <v>7</v>
          </cell>
          <cell r="L163">
            <v>8</v>
          </cell>
          <cell r="M163">
            <v>-1</v>
          </cell>
          <cell r="N163">
            <v>45.264349814444444</v>
          </cell>
        </row>
        <row r="164">
          <cell r="D164" t="str">
            <v>Roberto Giolo MS</v>
          </cell>
          <cell r="E164">
            <v>0.55555555555555558</v>
          </cell>
          <cell r="F164">
            <v>10</v>
          </cell>
          <cell r="G164">
            <v>6</v>
          </cell>
          <cell r="H164">
            <v>3</v>
          </cell>
          <cell r="I164">
            <v>1</v>
          </cell>
          <cell r="J164">
            <v>2</v>
          </cell>
          <cell r="K164">
            <v>11</v>
          </cell>
          <cell r="L164">
            <v>8</v>
          </cell>
          <cell r="M164">
            <v>3</v>
          </cell>
          <cell r="N164">
            <v>56.585864915555561</v>
          </cell>
        </row>
        <row r="165">
          <cell r="D165" t="str">
            <v>Curvelo RJ</v>
          </cell>
          <cell r="E165">
            <v>0.55555555555555558</v>
          </cell>
          <cell r="F165">
            <v>10</v>
          </cell>
          <cell r="G165">
            <v>6</v>
          </cell>
          <cell r="H165">
            <v>3</v>
          </cell>
          <cell r="I165">
            <v>1</v>
          </cell>
          <cell r="J165">
            <v>2</v>
          </cell>
          <cell r="K165">
            <v>4</v>
          </cell>
          <cell r="L165">
            <v>5</v>
          </cell>
          <cell r="M165">
            <v>-1</v>
          </cell>
          <cell r="N165">
            <v>56.585457905555558</v>
          </cell>
        </row>
        <row r="167">
          <cell r="D167" t="str">
            <v>Atletas</v>
          </cell>
          <cell r="E167" t="str">
            <v>%AP</v>
          </cell>
          <cell r="F167" t="str">
            <v>PTS</v>
          </cell>
          <cell r="G167" t="str">
            <v>J</v>
          </cell>
          <cell r="H167" t="str">
            <v>V</v>
          </cell>
          <cell r="I167" t="str">
            <v>E</v>
          </cell>
          <cell r="J167" t="str">
            <v>D</v>
          </cell>
          <cell r="K167" t="str">
            <v>GP</v>
          </cell>
          <cell r="L167" t="str">
            <v>GC</v>
          </cell>
          <cell r="M167" t="str">
            <v>SG</v>
          </cell>
          <cell r="N167" t="str">
            <v>ID</v>
          </cell>
        </row>
        <row r="168">
          <cell r="D168" t="str">
            <v>Simplício DF</v>
          </cell>
          <cell r="E168">
            <v>0.72222222222222221</v>
          </cell>
          <cell r="F168">
            <v>13</v>
          </cell>
          <cell r="G168">
            <v>6</v>
          </cell>
          <cell r="H168">
            <v>4</v>
          </cell>
          <cell r="I168">
            <v>1</v>
          </cell>
          <cell r="J168">
            <v>1</v>
          </cell>
          <cell r="K168">
            <v>14</v>
          </cell>
          <cell r="L168">
            <v>4</v>
          </cell>
          <cell r="M168">
            <v>10</v>
          </cell>
          <cell r="N168">
            <v>73.563234542222233</v>
          </cell>
        </row>
        <row r="169">
          <cell r="D169" t="str">
            <v>Sarti Neto RJ</v>
          </cell>
          <cell r="E169">
            <v>0.3888888888888889</v>
          </cell>
          <cell r="F169">
            <v>7</v>
          </cell>
          <cell r="G169">
            <v>6</v>
          </cell>
          <cell r="H169">
            <v>2</v>
          </cell>
          <cell r="I169">
            <v>1</v>
          </cell>
          <cell r="J169">
            <v>3</v>
          </cell>
          <cell r="K169">
            <v>9</v>
          </cell>
          <cell r="L169">
            <v>10</v>
          </cell>
          <cell r="M169">
            <v>-1</v>
          </cell>
          <cell r="N169">
            <v>39.608796198888889</v>
          </cell>
        </row>
        <row r="170">
          <cell r="D170" t="str">
            <v>Tiago Spitz MG</v>
          </cell>
          <cell r="E170">
            <v>0.33333333333333331</v>
          </cell>
          <cell r="F170">
            <v>6</v>
          </cell>
          <cell r="G170">
            <v>6</v>
          </cell>
          <cell r="H170">
            <v>2</v>
          </cell>
          <cell r="I170">
            <v>0</v>
          </cell>
          <cell r="J170">
            <v>4</v>
          </cell>
          <cell r="K170">
            <v>9</v>
          </cell>
          <cell r="L170">
            <v>14</v>
          </cell>
          <cell r="M170">
            <v>-5</v>
          </cell>
          <cell r="N170">
            <v>33.952840633333331</v>
          </cell>
        </row>
        <row r="171">
          <cell r="D171" t="str">
            <v>Justa SP</v>
          </cell>
          <cell r="E171">
            <v>0.44444444444444442</v>
          </cell>
          <cell r="F171">
            <v>8</v>
          </cell>
          <cell r="G171">
            <v>6</v>
          </cell>
          <cell r="H171">
            <v>2</v>
          </cell>
          <cell r="I171">
            <v>2</v>
          </cell>
          <cell r="J171">
            <v>2</v>
          </cell>
          <cell r="K171">
            <v>8</v>
          </cell>
          <cell r="L171">
            <v>6</v>
          </cell>
          <cell r="M171">
            <v>2</v>
          </cell>
          <cell r="N171">
            <v>45.264650734444444</v>
          </cell>
        </row>
        <row r="172">
          <cell r="D172" t="str">
            <v>Ademir RJ</v>
          </cell>
          <cell r="E172">
            <v>0.3888888888888889</v>
          </cell>
          <cell r="F172">
            <v>7</v>
          </cell>
          <cell r="G172">
            <v>6</v>
          </cell>
          <cell r="H172">
            <v>2</v>
          </cell>
          <cell r="I172">
            <v>1</v>
          </cell>
          <cell r="J172">
            <v>3</v>
          </cell>
          <cell r="K172">
            <v>8</v>
          </cell>
          <cell r="L172">
            <v>11</v>
          </cell>
          <cell r="M172">
            <v>-3</v>
          </cell>
          <cell r="N172">
            <v>39.60859516888889</v>
          </cell>
        </row>
        <row r="173">
          <cell r="D173" t="str">
            <v>JJota RJ</v>
          </cell>
          <cell r="E173">
            <v>0.72222222222222221</v>
          </cell>
          <cell r="F173">
            <v>13</v>
          </cell>
          <cell r="G173">
            <v>6</v>
          </cell>
          <cell r="H173">
            <v>4</v>
          </cell>
          <cell r="I173">
            <v>1</v>
          </cell>
          <cell r="J173">
            <v>1</v>
          </cell>
          <cell r="K173">
            <v>15</v>
          </cell>
          <cell r="L173">
            <v>13</v>
          </cell>
          <cell r="M173">
            <v>2</v>
          </cell>
          <cell r="N173">
            <v>73.562435492222235</v>
          </cell>
        </row>
        <row r="174">
          <cell r="D174" t="str">
            <v>Nicholas Rodrigues RJ</v>
          </cell>
          <cell r="E174">
            <v>0.27777777777777779</v>
          </cell>
          <cell r="F174">
            <v>5</v>
          </cell>
          <cell r="G174">
            <v>6</v>
          </cell>
          <cell r="H174">
            <v>1</v>
          </cell>
          <cell r="I174">
            <v>2</v>
          </cell>
          <cell r="J174">
            <v>3</v>
          </cell>
          <cell r="K174">
            <v>2</v>
          </cell>
          <cell r="L174">
            <v>7</v>
          </cell>
          <cell r="M174">
            <v>-5</v>
          </cell>
          <cell r="N174">
            <v>28.287278037777781</v>
          </cell>
        </row>
        <row r="176">
          <cell r="D176" t="str">
            <v>Atletas</v>
          </cell>
          <cell r="E176" t="str">
            <v>%AP</v>
          </cell>
          <cell r="F176" t="str">
            <v>PTS</v>
          </cell>
          <cell r="G176" t="str">
            <v>J</v>
          </cell>
          <cell r="H176" t="str">
            <v>V</v>
          </cell>
          <cell r="I176" t="str">
            <v>E</v>
          </cell>
          <cell r="J176" t="str">
            <v>D</v>
          </cell>
          <cell r="K176" t="str">
            <v>GP</v>
          </cell>
          <cell r="L176" t="str">
            <v>GC</v>
          </cell>
          <cell r="M176" t="str">
            <v>SG</v>
          </cell>
          <cell r="N176" t="str">
            <v>ID</v>
          </cell>
        </row>
        <row r="177">
          <cell r="D177" t="str">
            <v>Aires RJ</v>
          </cell>
          <cell r="E177">
            <v>0.88888888888888884</v>
          </cell>
          <cell r="F177">
            <v>16</v>
          </cell>
          <cell r="G177">
            <v>6</v>
          </cell>
          <cell r="H177">
            <v>5</v>
          </cell>
          <cell r="I177">
            <v>1</v>
          </cell>
          <cell r="J177">
            <v>0</v>
          </cell>
          <cell r="K177">
            <v>18</v>
          </cell>
          <cell r="L177">
            <v>7</v>
          </cell>
          <cell r="M177">
            <v>11</v>
          </cell>
          <cell r="N177">
            <v>90.540005118888885</v>
          </cell>
        </row>
        <row r="178">
          <cell r="D178" t="str">
            <v>Paulinho DF</v>
          </cell>
          <cell r="E178">
            <v>0.3888888888888889</v>
          </cell>
          <cell r="F178">
            <v>7</v>
          </cell>
          <cell r="G178">
            <v>6</v>
          </cell>
          <cell r="H178">
            <v>2</v>
          </cell>
          <cell r="I178">
            <v>1</v>
          </cell>
          <cell r="J178">
            <v>3</v>
          </cell>
          <cell r="K178">
            <v>7</v>
          </cell>
          <cell r="L178">
            <v>10</v>
          </cell>
          <cell r="M178">
            <v>-3</v>
          </cell>
          <cell r="N178">
            <v>39.608594108888887</v>
          </cell>
        </row>
        <row r="179">
          <cell r="D179" t="str">
            <v>Gabriel RJ</v>
          </cell>
          <cell r="E179">
            <v>0.72222222222222221</v>
          </cell>
          <cell r="F179">
            <v>13</v>
          </cell>
          <cell r="G179">
            <v>6</v>
          </cell>
          <cell r="H179">
            <v>4</v>
          </cell>
          <cell r="I179">
            <v>1</v>
          </cell>
          <cell r="J179">
            <v>1</v>
          </cell>
          <cell r="K179">
            <v>17</v>
          </cell>
          <cell r="L179">
            <v>9</v>
          </cell>
          <cell r="M179">
            <v>8</v>
          </cell>
          <cell r="N179">
            <v>73.563037432222231</v>
          </cell>
        </row>
        <row r="180">
          <cell r="D180" t="str">
            <v>Galdeano SP</v>
          </cell>
          <cell r="E180">
            <v>0.44444444444444442</v>
          </cell>
          <cell r="F180">
            <v>8</v>
          </cell>
          <cell r="G180">
            <v>6</v>
          </cell>
          <cell r="H180">
            <v>2</v>
          </cell>
          <cell r="I180">
            <v>2</v>
          </cell>
          <cell r="J180">
            <v>2</v>
          </cell>
          <cell r="K180">
            <v>8</v>
          </cell>
          <cell r="L180">
            <v>9</v>
          </cell>
          <cell r="M180">
            <v>-1</v>
          </cell>
          <cell r="N180">
            <v>45.264350644444441</v>
          </cell>
        </row>
        <row r="181">
          <cell r="D181" t="str">
            <v>Heraldino RJ</v>
          </cell>
          <cell r="E181">
            <v>0.33333333333333331</v>
          </cell>
          <cell r="F181">
            <v>6</v>
          </cell>
          <cell r="G181">
            <v>6</v>
          </cell>
          <cell r="H181">
            <v>2</v>
          </cell>
          <cell r="I181">
            <v>0</v>
          </cell>
          <cell r="J181">
            <v>4</v>
          </cell>
          <cell r="K181">
            <v>8</v>
          </cell>
          <cell r="L181">
            <v>17</v>
          </cell>
          <cell r="M181">
            <v>-9</v>
          </cell>
          <cell r="N181">
            <v>33.952439523333325</v>
          </cell>
        </row>
        <row r="182">
          <cell r="D182" t="str">
            <v>Bergamini SP</v>
          </cell>
          <cell r="E182">
            <v>0.55555555555555558</v>
          </cell>
          <cell r="F182">
            <v>10</v>
          </cell>
          <cell r="G182">
            <v>6</v>
          </cell>
          <cell r="H182">
            <v>3</v>
          </cell>
          <cell r="I182">
            <v>1</v>
          </cell>
          <cell r="J182">
            <v>2</v>
          </cell>
          <cell r="K182">
            <v>7</v>
          </cell>
          <cell r="L182">
            <v>7</v>
          </cell>
          <cell r="M182">
            <v>0</v>
          </cell>
          <cell r="N182">
            <v>56.585560735555561</v>
          </cell>
        </row>
        <row r="183">
          <cell r="D183" t="str">
            <v>-</v>
          </cell>
          <cell r="E183">
            <v>0</v>
          </cell>
          <cell r="F183">
            <v>0</v>
          </cell>
          <cell r="G183">
            <v>54</v>
          </cell>
          <cell r="H183">
            <v>0</v>
          </cell>
          <cell r="I183">
            <v>0</v>
          </cell>
          <cell r="J183">
            <v>54</v>
          </cell>
          <cell r="K183">
            <v>0</v>
          </cell>
          <cell r="L183">
            <v>54</v>
          </cell>
          <cell r="M183">
            <v>-54</v>
          </cell>
          <cell r="N183">
            <v>-5.4018300000000007E-3</v>
          </cell>
        </row>
        <row r="185">
          <cell r="D185" t="str">
            <v>Atletas</v>
          </cell>
          <cell r="E185" t="str">
            <v>%AP</v>
          </cell>
          <cell r="F185" t="str">
            <v>PTS</v>
          </cell>
          <cell r="G185" t="str">
            <v>J</v>
          </cell>
          <cell r="H185" t="str">
            <v>V</v>
          </cell>
          <cell r="I185" t="str">
            <v>E</v>
          </cell>
          <cell r="J185" t="str">
            <v>D</v>
          </cell>
          <cell r="K185" t="str">
            <v>GP</v>
          </cell>
          <cell r="L185" t="str">
            <v>GC</v>
          </cell>
          <cell r="M185" t="str">
            <v>SG</v>
          </cell>
          <cell r="N185" t="str">
            <v>ID</v>
          </cell>
        </row>
        <row r="186">
          <cell r="D186" t="str">
            <v>Adriano RJ</v>
          </cell>
          <cell r="E186">
            <v>0.66666666666666663</v>
          </cell>
          <cell r="F186">
            <v>12</v>
          </cell>
          <cell r="G186">
            <v>6</v>
          </cell>
          <cell r="H186">
            <v>4</v>
          </cell>
          <cell r="I186">
            <v>0</v>
          </cell>
          <cell r="J186">
            <v>2</v>
          </cell>
          <cell r="K186">
            <v>11</v>
          </cell>
          <cell r="L186">
            <v>11</v>
          </cell>
          <cell r="M186">
            <v>0</v>
          </cell>
          <cell r="N186">
            <v>67.906675806666655</v>
          </cell>
        </row>
        <row r="187">
          <cell r="D187" t="str">
            <v>Zé Spy RJ</v>
          </cell>
          <cell r="E187">
            <v>0.3888888888888889</v>
          </cell>
          <cell r="F187">
            <v>7</v>
          </cell>
          <cell r="G187">
            <v>6</v>
          </cell>
          <cell r="H187">
            <v>2</v>
          </cell>
          <cell r="I187">
            <v>1</v>
          </cell>
          <cell r="J187">
            <v>3</v>
          </cell>
          <cell r="K187">
            <v>8</v>
          </cell>
          <cell r="L187">
            <v>8</v>
          </cell>
          <cell r="M187">
            <v>0</v>
          </cell>
          <cell r="N187">
            <v>39.608895018888887</v>
          </cell>
        </row>
        <row r="188">
          <cell r="D188" t="str">
            <v>Dudu RJ</v>
          </cell>
          <cell r="E188">
            <v>0.55555555555555558</v>
          </cell>
          <cell r="F188">
            <v>10</v>
          </cell>
          <cell r="G188">
            <v>6</v>
          </cell>
          <cell r="H188">
            <v>3</v>
          </cell>
          <cell r="I188">
            <v>1</v>
          </cell>
          <cell r="J188">
            <v>2</v>
          </cell>
          <cell r="K188">
            <v>9</v>
          </cell>
          <cell r="L188">
            <v>7</v>
          </cell>
          <cell r="M188">
            <v>2</v>
          </cell>
          <cell r="N188">
            <v>56.585762675555557</v>
          </cell>
        </row>
        <row r="189">
          <cell r="D189" t="str">
            <v>Vinicius Rolim RJ</v>
          </cell>
          <cell r="E189">
            <v>0.61111111111111116</v>
          </cell>
          <cell r="F189">
            <v>11</v>
          </cell>
          <cell r="G189">
            <v>6</v>
          </cell>
          <cell r="H189">
            <v>3</v>
          </cell>
          <cell r="I189">
            <v>2</v>
          </cell>
          <cell r="J189">
            <v>1</v>
          </cell>
          <cell r="K189">
            <v>13</v>
          </cell>
          <cell r="L189">
            <v>9</v>
          </cell>
          <cell r="M189">
            <v>4</v>
          </cell>
          <cell r="N189">
            <v>62.241522221111119</v>
          </cell>
        </row>
        <row r="190">
          <cell r="D190" t="str">
            <v>Jorge Henrique RJ</v>
          </cell>
          <cell r="E190">
            <v>0.77777777777777779</v>
          </cell>
          <cell r="F190">
            <v>14</v>
          </cell>
          <cell r="G190">
            <v>6</v>
          </cell>
          <cell r="H190">
            <v>4</v>
          </cell>
          <cell r="I190">
            <v>2</v>
          </cell>
          <cell r="J190">
            <v>0</v>
          </cell>
          <cell r="K190">
            <v>9</v>
          </cell>
          <cell r="L190">
            <v>5</v>
          </cell>
          <cell r="M190">
            <v>4</v>
          </cell>
          <cell r="N190">
            <v>79.218184877777773</v>
          </cell>
        </row>
        <row r="191">
          <cell r="D191" t="str">
            <v>Roberto Villano RJ</v>
          </cell>
          <cell r="E191">
            <v>0.33333333333333331</v>
          </cell>
          <cell r="F191">
            <v>6</v>
          </cell>
          <cell r="G191">
            <v>6</v>
          </cell>
          <cell r="H191">
            <v>2</v>
          </cell>
          <cell r="I191">
            <v>0</v>
          </cell>
          <cell r="J191">
            <v>4</v>
          </cell>
          <cell r="K191">
            <v>4</v>
          </cell>
          <cell r="L191">
            <v>8</v>
          </cell>
          <cell r="M191">
            <v>-4</v>
          </cell>
          <cell r="N191">
            <v>33.952935423333329</v>
          </cell>
        </row>
        <row r="192">
          <cell r="D192" t="str">
            <v>-</v>
          </cell>
          <cell r="E192">
            <v>0</v>
          </cell>
          <cell r="F192">
            <v>0</v>
          </cell>
          <cell r="G192">
            <v>54</v>
          </cell>
          <cell r="H192">
            <v>0</v>
          </cell>
          <cell r="I192">
            <v>0</v>
          </cell>
          <cell r="J192">
            <v>54</v>
          </cell>
          <cell r="K192">
            <v>0</v>
          </cell>
          <cell r="L192">
            <v>54</v>
          </cell>
          <cell r="M192">
            <v>-54</v>
          </cell>
          <cell r="N192">
            <v>-5.4019200000000002E-3</v>
          </cell>
        </row>
        <row r="194">
          <cell r="D194" t="str">
            <v>Atletas</v>
          </cell>
          <cell r="E194" t="str">
            <v>%AP</v>
          </cell>
          <cell r="F194" t="str">
            <v>PTS</v>
          </cell>
          <cell r="G194" t="str">
            <v>J</v>
          </cell>
          <cell r="H194" t="str">
            <v>V</v>
          </cell>
          <cell r="I194" t="str">
            <v>E</v>
          </cell>
          <cell r="J194" t="str">
            <v>D</v>
          </cell>
          <cell r="K194" t="str">
            <v>GP</v>
          </cell>
          <cell r="L194" t="str">
            <v>GC</v>
          </cell>
          <cell r="M194" t="str">
            <v>SG</v>
          </cell>
          <cell r="N194" t="str">
            <v>ID</v>
          </cell>
        </row>
        <row r="195">
          <cell r="D195" t="str">
            <v>João Carlos RJ</v>
          </cell>
          <cell r="E195">
            <v>0.83333333333333337</v>
          </cell>
          <cell r="F195">
            <v>15</v>
          </cell>
          <cell r="G195">
            <v>6</v>
          </cell>
          <cell r="H195">
            <v>5</v>
          </cell>
          <cell r="I195">
            <v>0</v>
          </cell>
          <cell r="J195">
            <v>1</v>
          </cell>
          <cell r="K195">
            <v>15</v>
          </cell>
          <cell r="L195">
            <v>9</v>
          </cell>
          <cell r="M195">
            <v>6</v>
          </cell>
          <cell r="N195">
            <v>84.883946383333338</v>
          </cell>
        </row>
        <row r="196">
          <cell r="D196" t="str">
            <v>Sylvio PR</v>
          </cell>
          <cell r="E196">
            <v>0.22222222222222221</v>
          </cell>
          <cell r="F196">
            <v>4</v>
          </cell>
          <cell r="G196">
            <v>6</v>
          </cell>
          <cell r="H196">
            <v>1</v>
          </cell>
          <cell r="I196">
            <v>1</v>
          </cell>
          <cell r="J196">
            <v>4</v>
          </cell>
          <cell r="K196">
            <v>6</v>
          </cell>
          <cell r="L196">
            <v>14</v>
          </cell>
          <cell r="M196">
            <v>-8</v>
          </cell>
          <cell r="N196">
            <v>22.63142626222222</v>
          </cell>
        </row>
        <row r="197">
          <cell r="D197" t="str">
            <v>Diego Cortinhas RJ</v>
          </cell>
          <cell r="E197">
            <v>0.55555555555555558</v>
          </cell>
          <cell r="F197">
            <v>10</v>
          </cell>
          <cell r="G197">
            <v>6</v>
          </cell>
          <cell r="H197">
            <v>3</v>
          </cell>
          <cell r="I197">
            <v>1</v>
          </cell>
          <cell r="J197">
            <v>2</v>
          </cell>
          <cell r="K197">
            <v>12</v>
          </cell>
          <cell r="L197">
            <v>10</v>
          </cell>
          <cell r="M197">
            <v>2</v>
          </cell>
          <cell r="N197">
            <v>56.585765585555563</v>
          </cell>
        </row>
        <row r="198">
          <cell r="D198" t="str">
            <v>Pablo Martins RJ</v>
          </cell>
          <cell r="E198">
            <v>0.72222222222222221</v>
          </cell>
          <cell r="F198">
            <v>13</v>
          </cell>
          <cell r="G198">
            <v>6</v>
          </cell>
          <cell r="H198">
            <v>4</v>
          </cell>
          <cell r="I198">
            <v>1</v>
          </cell>
          <cell r="J198">
            <v>1</v>
          </cell>
          <cell r="K198">
            <v>13</v>
          </cell>
          <cell r="L198">
            <v>6</v>
          </cell>
          <cell r="M198">
            <v>7</v>
          </cell>
          <cell r="N198">
            <v>73.562933242222229</v>
          </cell>
        </row>
        <row r="199">
          <cell r="D199" t="str">
            <v>Harley RJ</v>
          </cell>
          <cell r="E199">
            <v>0.3888888888888889</v>
          </cell>
          <cell r="F199">
            <v>7</v>
          </cell>
          <cell r="G199">
            <v>6</v>
          </cell>
          <cell r="H199">
            <v>2</v>
          </cell>
          <cell r="I199">
            <v>1</v>
          </cell>
          <cell r="J199">
            <v>3</v>
          </cell>
          <cell r="K199">
            <v>12</v>
          </cell>
          <cell r="L199">
            <v>12</v>
          </cell>
          <cell r="M199">
            <v>0</v>
          </cell>
          <cell r="N199">
            <v>39.608898898888889</v>
          </cell>
        </row>
        <row r="200">
          <cell r="D200" t="str">
            <v>Oswaldo Fabeni SC</v>
          </cell>
          <cell r="E200">
            <v>5.5555555555555552E-2</v>
          </cell>
          <cell r="F200">
            <v>1</v>
          </cell>
          <cell r="G200">
            <v>6</v>
          </cell>
          <cell r="H200">
            <v>0</v>
          </cell>
          <cell r="I200">
            <v>1</v>
          </cell>
          <cell r="J200">
            <v>5</v>
          </cell>
          <cell r="K200">
            <v>3</v>
          </cell>
          <cell r="L200">
            <v>11</v>
          </cell>
          <cell r="M200">
            <v>-8</v>
          </cell>
          <cell r="N200">
            <v>5.6547565555555543</v>
          </cell>
        </row>
        <row r="201">
          <cell r="D201" t="str">
            <v>Edmilson Chagas RJ</v>
          </cell>
          <cell r="E201">
            <v>0.5</v>
          </cell>
          <cell r="F201">
            <v>9</v>
          </cell>
          <cell r="G201">
            <v>6</v>
          </cell>
          <cell r="H201">
            <v>2</v>
          </cell>
          <cell r="I201">
            <v>3</v>
          </cell>
          <cell r="J201">
            <v>1</v>
          </cell>
          <cell r="K201">
            <v>8</v>
          </cell>
          <cell r="L201">
            <v>7</v>
          </cell>
          <cell r="M201">
            <v>1</v>
          </cell>
          <cell r="N201">
            <v>50.920105989999996</v>
          </cell>
        </row>
        <row r="203">
          <cell r="D203" t="str">
            <v>Atletas</v>
          </cell>
          <cell r="E203" t="str">
            <v>%AP</v>
          </cell>
          <cell r="F203" t="str">
            <v>PTS</v>
          </cell>
          <cell r="G203" t="str">
            <v>J</v>
          </cell>
          <cell r="H203" t="str">
            <v>V</v>
          </cell>
          <cell r="I203" t="str">
            <v>E</v>
          </cell>
          <cell r="J203" t="str">
            <v>D</v>
          </cell>
          <cell r="K203" t="str">
            <v>GP</v>
          </cell>
          <cell r="L203" t="str">
            <v>GC</v>
          </cell>
          <cell r="M203" t="str">
            <v>SG</v>
          </cell>
          <cell r="N203" t="str">
            <v>ID</v>
          </cell>
        </row>
        <row r="204">
          <cell r="D204" t="str">
            <v>Quartarone RJ</v>
          </cell>
          <cell r="E204">
            <v>0.61111111111111116</v>
          </cell>
          <cell r="F204">
            <v>11</v>
          </cell>
          <cell r="G204">
            <v>6</v>
          </cell>
          <cell r="H204">
            <v>3</v>
          </cell>
          <cell r="I204">
            <v>2</v>
          </cell>
          <cell r="J204">
            <v>1</v>
          </cell>
          <cell r="K204">
            <v>17</v>
          </cell>
          <cell r="L204">
            <v>9</v>
          </cell>
          <cell r="M204">
            <v>8</v>
          </cell>
          <cell r="N204">
            <v>62.241926071111124</v>
          </cell>
        </row>
        <row r="205">
          <cell r="D205" t="str">
            <v>Gustavo Burgos PR</v>
          </cell>
          <cell r="E205">
            <v>0.72222222222222221</v>
          </cell>
          <cell r="F205">
            <v>13</v>
          </cell>
          <cell r="G205">
            <v>6</v>
          </cell>
          <cell r="H205">
            <v>4</v>
          </cell>
          <cell r="I205">
            <v>1</v>
          </cell>
          <cell r="J205">
            <v>1</v>
          </cell>
          <cell r="K205">
            <v>7</v>
          </cell>
          <cell r="L205">
            <v>3</v>
          </cell>
          <cell r="M205">
            <v>4</v>
          </cell>
          <cell r="N205">
            <v>73.562627172222221</v>
          </cell>
        </row>
        <row r="206">
          <cell r="D206" t="str">
            <v>Wallace RJ</v>
          </cell>
          <cell r="E206">
            <v>0.72222222222222221</v>
          </cell>
          <cell r="F206">
            <v>13</v>
          </cell>
          <cell r="G206">
            <v>6</v>
          </cell>
          <cell r="H206">
            <v>4</v>
          </cell>
          <cell r="I206">
            <v>1</v>
          </cell>
          <cell r="J206">
            <v>1</v>
          </cell>
          <cell r="K206">
            <v>10</v>
          </cell>
          <cell r="L206">
            <v>8</v>
          </cell>
          <cell r="M206">
            <v>2</v>
          </cell>
          <cell r="N206">
            <v>73.562430162222228</v>
          </cell>
        </row>
        <row r="207">
          <cell r="D207" t="str">
            <v>Sallys Martins SP</v>
          </cell>
          <cell r="E207">
            <v>0.16666666666666666</v>
          </cell>
          <cell r="F207">
            <v>3</v>
          </cell>
          <cell r="G207">
            <v>6</v>
          </cell>
          <cell r="H207">
            <v>1</v>
          </cell>
          <cell r="I207">
            <v>0</v>
          </cell>
          <cell r="J207">
            <v>5</v>
          </cell>
          <cell r="K207">
            <v>3</v>
          </cell>
          <cell r="L207">
            <v>17</v>
          </cell>
          <cell r="M207">
            <v>-14</v>
          </cell>
          <cell r="N207">
            <v>16.975267596666665</v>
          </cell>
        </row>
        <row r="208">
          <cell r="D208" t="str">
            <v>Tubarão RJ</v>
          </cell>
          <cell r="E208">
            <v>0.61111111111111116</v>
          </cell>
          <cell r="F208">
            <v>11</v>
          </cell>
          <cell r="G208">
            <v>6</v>
          </cell>
          <cell r="H208">
            <v>3</v>
          </cell>
          <cell r="I208">
            <v>2</v>
          </cell>
          <cell r="J208">
            <v>1</v>
          </cell>
          <cell r="K208">
            <v>14</v>
          </cell>
          <cell r="L208">
            <v>7</v>
          </cell>
          <cell r="M208">
            <v>7</v>
          </cell>
          <cell r="N208">
            <v>62.241823031111117</v>
          </cell>
        </row>
        <row r="209">
          <cell r="D209" t="str">
            <v>Ricardo Guedes SC</v>
          </cell>
          <cell r="E209">
            <v>0.5</v>
          </cell>
          <cell r="F209">
            <v>9</v>
          </cell>
          <cell r="G209">
            <v>6</v>
          </cell>
          <cell r="H209">
            <v>3</v>
          </cell>
          <cell r="I209">
            <v>0</v>
          </cell>
          <cell r="J209">
            <v>3</v>
          </cell>
          <cell r="K209">
            <v>3</v>
          </cell>
          <cell r="L209">
            <v>4</v>
          </cell>
          <cell r="M209">
            <v>-1</v>
          </cell>
          <cell r="N209">
            <v>50.929900910000001</v>
          </cell>
        </row>
        <row r="210">
          <cell r="D210" t="str">
            <v>-</v>
          </cell>
          <cell r="E210">
            <v>0</v>
          </cell>
          <cell r="F210">
            <v>0</v>
          </cell>
          <cell r="G210">
            <v>54</v>
          </cell>
          <cell r="H210">
            <v>0</v>
          </cell>
          <cell r="I210">
            <v>0</v>
          </cell>
          <cell r="J210">
            <v>54</v>
          </cell>
          <cell r="K210">
            <v>0</v>
          </cell>
          <cell r="L210">
            <v>54</v>
          </cell>
          <cell r="M210">
            <v>-54</v>
          </cell>
          <cell r="N210">
            <v>-5.4021E-3</v>
          </cell>
        </row>
        <row r="212">
          <cell r="D212" t="str">
            <v>Atletas</v>
          </cell>
          <cell r="E212" t="str">
            <v>%AP</v>
          </cell>
          <cell r="F212" t="str">
            <v>PTS</v>
          </cell>
          <cell r="G212" t="str">
            <v>J</v>
          </cell>
          <cell r="H212" t="str">
            <v>V</v>
          </cell>
          <cell r="I212" t="str">
            <v>E</v>
          </cell>
          <cell r="J212" t="str">
            <v>D</v>
          </cell>
          <cell r="K212" t="str">
            <v>GP</v>
          </cell>
          <cell r="L212" t="str">
            <v>GC</v>
          </cell>
          <cell r="M212" t="str">
            <v>SG</v>
          </cell>
          <cell r="N212" t="str">
            <v>ID</v>
          </cell>
        </row>
        <row r="213">
          <cell r="D213" t="str">
            <v>Marco Antonio RJ</v>
          </cell>
          <cell r="E213">
            <v>0.22222222222222221</v>
          </cell>
          <cell r="F213">
            <v>4</v>
          </cell>
          <cell r="G213">
            <v>6</v>
          </cell>
          <cell r="H213">
            <v>1</v>
          </cell>
          <cell r="I213">
            <v>1</v>
          </cell>
          <cell r="J213">
            <v>4</v>
          </cell>
          <cell r="K213">
            <v>6</v>
          </cell>
          <cell r="L213">
            <v>10</v>
          </cell>
          <cell r="M213">
            <v>-4</v>
          </cell>
          <cell r="N213">
            <v>22.631826092222223</v>
          </cell>
        </row>
        <row r="214">
          <cell r="D214" t="str">
            <v>Gilberto Almeida RJ</v>
          </cell>
          <cell r="E214">
            <v>0.33333333333333331</v>
          </cell>
          <cell r="F214">
            <v>6</v>
          </cell>
          <cell r="G214">
            <v>6</v>
          </cell>
          <cell r="H214">
            <v>1</v>
          </cell>
          <cell r="I214">
            <v>3</v>
          </cell>
          <cell r="J214">
            <v>2</v>
          </cell>
          <cell r="K214">
            <v>6</v>
          </cell>
          <cell r="L214">
            <v>7</v>
          </cell>
          <cell r="M214">
            <v>-1</v>
          </cell>
          <cell r="N214">
            <v>33.943237193333331</v>
          </cell>
        </row>
        <row r="215">
          <cell r="D215" t="str">
            <v>Marrentinho RJ</v>
          </cell>
          <cell r="E215">
            <v>0.72222222222222221</v>
          </cell>
          <cell r="F215">
            <v>13</v>
          </cell>
          <cell r="G215">
            <v>6</v>
          </cell>
          <cell r="H215">
            <v>4</v>
          </cell>
          <cell r="I215">
            <v>1</v>
          </cell>
          <cell r="J215">
            <v>1</v>
          </cell>
          <cell r="K215">
            <v>17</v>
          </cell>
          <cell r="L215">
            <v>7</v>
          </cell>
          <cell r="M215">
            <v>10</v>
          </cell>
          <cell r="N215">
            <v>73.563237072222222</v>
          </cell>
        </row>
        <row r="216">
          <cell r="D216" t="str">
            <v>Marcão SP</v>
          </cell>
          <cell r="E216">
            <v>0.55555555555555558</v>
          </cell>
          <cell r="F216">
            <v>10</v>
          </cell>
          <cell r="G216">
            <v>6</v>
          </cell>
          <cell r="H216">
            <v>3</v>
          </cell>
          <cell r="I216">
            <v>1</v>
          </cell>
          <cell r="J216">
            <v>2</v>
          </cell>
          <cell r="K216">
            <v>14</v>
          </cell>
          <cell r="L216">
            <v>9</v>
          </cell>
          <cell r="M216">
            <v>5</v>
          </cell>
          <cell r="N216">
            <v>56.58606739555556</v>
          </cell>
        </row>
        <row r="217">
          <cell r="D217" t="str">
            <v>Porphirio RJ</v>
          </cell>
          <cell r="E217">
            <v>0.22222222222222221</v>
          </cell>
          <cell r="F217">
            <v>4</v>
          </cell>
          <cell r="G217">
            <v>6</v>
          </cell>
          <cell r="H217">
            <v>1</v>
          </cell>
          <cell r="I217">
            <v>1</v>
          </cell>
          <cell r="J217">
            <v>4</v>
          </cell>
          <cell r="K217">
            <v>7</v>
          </cell>
          <cell r="L217">
            <v>16</v>
          </cell>
          <cell r="M217">
            <v>-9</v>
          </cell>
          <cell r="N217">
            <v>22.631327052222222</v>
          </cell>
        </row>
        <row r="218">
          <cell r="D218" t="str">
            <v>André Amorim SC</v>
          </cell>
          <cell r="E218">
            <v>0.66666666666666663</v>
          </cell>
          <cell r="F218">
            <v>12</v>
          </cell>
          <cell r="G218">
            <v>6</v>
          </cell>
          <cell r="H218">
            <v>4</v>
          </cell>
          <cell r="I218">
            <v>0</v>
          </cell>
          <cell r="J218">
            <v>2</v>
          </cell>
          <cell r="K218">
            <v>12</v>
          </cell>
          <cell r="L218">
            <v>12</v>
          </cell>
          <cell r="M218">
            <v>0</v>
          </cell>
          <cell r="N218">
            <v>67.906676486666655</v>
          </cell>
        </row>
        <row r="219">
          <cell r="D219" t="str">
            <v>Marcelo Aranha SP</v>
          </cell>
          <cell r="E219">
            <v>0.55555555555555558</v>
          </cell>
          <cell r="F219">
            <v>10</v>
          </cell>
          <cell r="G219">
            <v>6</v>
          </cell>
          <cell r="H219">
            <v>3</v>
          </cell>
          <cell r="I219">
            <v>1</v>
          </cell>
          <cell r="J219">
            <v>2</v>
          </cell>
          <cell r="K219">
            <v>10</v>
          </cell>
          <cell r="L219">
            <v>11</v>
          </cell>
          <cell r="M219">
            <v>-1</v>
          </cell>
          <cell r="N219">
            <v>56.585463365555562</v>
          </cell>
        </row>
      </sheetData>
      <sheetData sheetId="4" refreshError="1"/>
      <sheetData sheetId="5">
        <row r="4">
          <cell r="A4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D2211-0AE5-450F-A284-C0F162AB606E}">
  <dimension ref="A1:D44"/>
  <sheetViews>
    <sheetView showGridLines="0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RowHeight="15.75" x14ac:dyDescent="0.25"/>
  <cols>
    <col min="1" max="1" width="5.7109375" style="1" customWidth="1"/>
    <col min="2" max="2" width="50.7109375" style="1" customWidth="1"/>
    <col min="3" max="3" width="9.140625" style="4"/>
    <col min="4" max="16384" width="9.140625" style="1"/>
  </cols>
  <sheetData>
    <row r="1" spans="1:4" ht="20.25" x14ac:dyDescent="0.3">
      <c r="B1" s="2" t="s">
        <v>0</v>
      </c>
    </row>
    <row r="2" spans="1:4" x14ac:dyDescent="0.25">
      <c r="B2" s="3" t="s">
        <v>1</v>
      </c>
    </row>
    <row r="3" spans="1:4" x14ac:dyDescent="0.25">
      <c r="A3" s="5">
        <v>1</v>
      </c>
      <c r="B3" s="90" t="str">
        <f>IFERROR(IF(VLOOKUP(D3,'[1]Classificação 2ª Fase - A_B'!D$4:F$45,3,FALSE)&lt;&gt;"",VLOOKUP(D3,'[1]Classificação 2ª Fase - A_B'!D$4:F$45,3,FALSE),_xlfn.CONCAT("Eq ",D3)),_xlfn.CONCAT("Eq ",D3))</f>
        <v>Gabriel RJ</v>
      </c>
      <c r="C3" s="4">
        <v>0.31507664918899536</v>
      </c>
      <c r="D3" s="91">
        <v>43</v>
      </c>
    </row>
    <row r="4" spans="1:4" x14ac:dyDescent="0.25">
      <c r="A4" s="5">
        <v>2</v>
      </c>
      <c r="B4" s="90" t="str">
        <f>IFERROR(IF(VLOOKUP(D4,'[1]Classificação 2ª Fase - A_B'!D$4:F$45,3,FALSE)&lt;&gt;"",VLOOKUP(D4,'[1]Classificação 2ª Fase - A_B'!D$4:F$45,3,FALSE),_xlfn.CONCAT("Eq ",D4)),_xlfn.CONCAT("Eq ",D4))</f>
        <v>Mário Bürguel RS</v>
      </c>
      <c r="C4" s="4">
        <v>0.41929888725280762</v>
      </c>
      <c r="D4" s="91">
        <v>54</v>
      </c>
    </row>
    <row r="5" spans="1:4" x14ac:dyDescent="0.25">
      <c r="A5" s="5">
        <v>3</v>
      </c>
      <c r="B5" s="90" t="str">
        <f>IFERROR(IF(VLOOKUP(D5,'[1]Classificação 2ª Fase - A_B'!D$4:F$45,3,FALSE)&lt;&gt;"",VLOOKUP(D5,'[1]Classificação 2ª Fase - A_B'!D$4:F$45,3,FALSE),_xlfn.CONCAT("Eq ",D5)),_xlfn.CONCAT("Eq ",D5))</f>
        <v>Dudu RJ</v>
      </c>
      <c r="C5" s="4">
        <v>0.23126596212387085</v>
      </c>
      <c r="D5" s="91">
        <v>55</v>
      </c>
    </row>
    <row r="6" spans="1:4" x14ac:dyDescent="0.25">
      <c r="A6" s="5">
        <v>4</v>
      </c>
      <c r="B6" s="90" t="str">
        <f>IFERROR(IF(VLOOKUP(D6,'[1]Classificação 2ª Fase - A_B'!D$4:F$45,3,FALSE)&lt;&gt;"",VLOOKUP(D6,'[1]Classificação 2ª Fase - A_B'!D$4:F$45,3,FALSE),_xlfn.CONCAT("Eq ",D6)),_xlfn.CONCAT("Eq ",D6))</f>
        <v>Pablo Martins RJ</v>
      </c>
      <c r="C6" s="4">
        <v>0.76274144649505615</v>
      </c>
      <c r="D6" s="91">
        <v>66</v>
      </c>
    </row>
    <row r="7" spans="1:4" x14ac:dyDescent="0.25">
      <c r="A7" s="5">
        <v>5</v>
      </c>
      <c r="B7" s="90" t="str">
        <f>IFERROR(IF(VLOOKUP(D7,'[1]Classificação 2ª Fase - A_B'!D$4:F$45,3,FALSE)&lt;&gt;"",VLOOKUP(D7,'[1]Classificação 2ª Fase - A_B'!D$4:F$45,3,FALSE),_xlfn.CONCAT("Eq ",D7)),_xlfn.CONCAT("Eq ",D7))</f>
        <v>Thiago Matoso RJ</v>
      </c>
      <c r="C7" s="4">
        <v>0.84041887521743774</v>
      </c>
      <c r="D7" s="91">
        <v>67</v>
      </c>
    </row>
    <row r="8" spans="1:4" x14ac:dyDescent="0.25">
      <c r="A8" s="5">
        <v>6</v>
      </c>
      <c r="B8" s="90" t="str">
        <f>IFERROR(IF(VLOOKUP(D8,'[1]Classificação 2ª Fase - A_B'!D$4:F$45,3,FALSE)&lt;&gt;"",VLOOKUP(D8,'[1]Classificação 2ª Fase - A_B'!D$4:F$45,3,FALSE),_xlfn.CONCAT("Eq ",D8)),_xlfn.CONCAT("Eq ",D8))</f>
        <v>Rogelson PR</v>
      </c>
      <c r="C8" s="4">
        <v>0.43674755096435547</v>
      </c>
      <c r="D8" s="91">
        <v>78</v>
      </c>
    </row>
    <row r="9" spans="1:4" x14ac:dyDescent="0.25">
      <c r="A9" s="5">
        <v>7</v>
      </c>
      <c r="B9" s="90" t="str">
        <f>IFERROR(IF(VLOOKUP(D9,'[1]Classificação 2ª Fase - A_B'!D$4:F$45,3,FALSE)&lt;&gt;"",VLOOKUP(D9,'[1]Classificação 2ª Fase - A_B'!D$4:F$45,3,FALSE),_xlfn.CONCAT("Eq ",D9)),_xlfn.CONCAT("Eq ",D9))</f>
        <v>Gabriel Lisboa PA</v>
      </c>
      <c r="C9" s="4">
        <v>0.91627043485641479</v>
      </c>
      <c r="D9" s="91">
        <v>79</v>
      </c>
    </row>
    <row r="10" spans="1:4" x14ac:dyDescent="0.25">
      <c r="A10" s="5">
        <v>8</v>
      </c>
      <c r="B10" s="90" t="str">
        <f>IFERROR(IF(VLOOKUP(D10,'[1]Classificação 2ª Fase - A_B'!D$4:F$45,3,FALSE)&lt;&gt;"",VLOOKUP(D10,'[1]Classificação 2ª Fase - A_B'!D$4:F$45,3,FALSE),_xlfn.CONCAT("Eq ",D10)),_xlfn.CONCAT("Eq ",D10))</f>
        <v>Marcelinho RJ</v>
      </c>
      <c r="C10" s="4">
        <v>0.35306799411773682</v>
      </c>
      <c r="D10" s="91">
        <v>44</v>
      </c>
    </row>
    <row r="11" spans="1:4" x14ac:dyDescent="0.25">
      <c r="A11" s="5">
        <v>9</v>
      </c>
      <c r="B11" s="90" t="str">
        <f>IFERROR(IF(VLOOKUP(D11,'[1]Classificação 2ª Fase - A_B'!D$4:F$45,3,FALSE)&lt;&gt;"",VLOOKUP(D11,'[1]Classificação 2ª Fase - A_B'!D$4:F$45,3,FALSE),_xlfn.CONCAT("Eq ",D11)),_xlfn.CONCAT("Eq ",D11))</f>
        <v>Capela SC</v>
      </c>
      <c r="C11" s="4">
        <v>0.91804152727127075</v>
      </c>
      <c r="D11" s="91">
        <v>53</v>
      </c>
    </row>
    <row r="12" spans="1:4" x14ac:dyDescent="0.25">
      <c r="A12" s="5">
        <v>10</v>
      </c>
      <c r="B12" s="90" t="str">
        <f>IFERROR(IF(VLOOKUP(D12,'[1]Classificação 2ª Fase - A_B'!D$4:F$45,3,FALSE)&lt;&gt;"",VLOOKUP(D12,'[1]Classificação 2ª Fase - A_B'!D$4:F$45,3,FALSE),_xlfn.CONCAT("Eq ",D12)),_xlfn.CONCAT("Eq ",D12))</f>
        <v>Roberto Giolo MS</v>
      </c>
      <c r="C12" s="4">
        <v>0.34775471687316895</v>
      </c>
      <c r="D12" s="91">
        <v>56</v>
      </c>
    </row>
    <row r="13" spans="1:4" x14ac:dyDescent="0.25">
      <c r="A13" s="5">
        <v>11</v>
      </c>
      <c r="B13" s="90" t="str">
        <f>IFERROR(IF(VLOOKUP(D13,'[1]Classificação 2ª Fase - A_B'!D$4:F$45,3,FALSE)&lt;&gt;"",VLOOKUP(D13,'[1]Classificação 2ª Fase - A_B'!D$4:F$45,3,FALSE),_xlfn.CONCAT("Eq ",D13)),_xlfn.CONCAT("Eq ",D13))</f>
        <v>Diogo SP</v>
      </c>
      <c r="C13" s="4">
        <v>0.68178409337997437</v>
      </c>
      <c r="D13" s="91">
        <v>65</v>
      </c>
    </row>
    <row r="14" spans="1:4" x14ac:dyDescent="0.25">
      <c r="A14" s="5">
        <v>12</v>
      </c>
      <c r="B14" s="90" t="str">
        <f>IFERROR(IF(VLOOKUP(D14,'[1]Classificação 2ª Fase - A_B'!D$4:F$45,3,FALSE)&lt;&gt;"",VLOOKUP(D14,'[1]Classificação 2ª Fase - A_B'!D$4:F$45,3,FALSE),_xlfn.CONCAT("Eq ",D14)),_xlfn.CONCAT("Eq ",D14))</f>
        <v>Lian MG</v>
      </c>
      <c r="C14" s="4">
        <v>8.6220622062683105E-2</v>
      </c>
      <c r="D14" s="91">
        <v>68</v>
      </c>
    </row>
    <row r="15" spans="1:4" x14ac:dyDescent="0.25">
      <c r="A15" s="5">
        <v>13</v>
      </c>
      <c r="B15" s="90" t="str">
        <f>IFERROR(IF(VLOOKUP(D15,'[1]Classificação 2ª Fase - A_B'!D$4:F$45,3,FALSE)&lt;&gt;"",VLOOKUP(D15,'[1]Classificação 2ª Fase - A_B'!D$4:F$45,3,FALSE),_xlfn.CONCAT("Eq ",D15)),_xlfn.CONCAT("Eq ",D15))</f>
        <v>Eduardo Massa MG</v>
      </c>
      <c r="C15" s="4">
        <v>0.13849025964736938</v>
      </c>
      <c r="D15" s="91">
        <v>77</v>
      </c>
    </row>
    <row r="16" spans="1:4" x14ac:dyDescent="0.25">
      <c r="A16" s="5">
        <v>14</v>
      </c>
      <c r="B16" s="90" t="str">
        <f>IFERROR(IF(VLOOKUP(D16,'[1]Classificação 2ª Fase - A_B'!D$4:F$45,3,FALSE)&lt;&gt;"",VLOOKUP(D16,'[1]Classificação 2ª Fase - A_B'!D$4:F$45,3,FALSE),_xlfn.CONCAT("Eq ",D16)),_xlfn.CONCAT("Eq ",D16))</f>
        <v>Ronaldo Eifler RS</v>
      </c>
      <c r="C16" s="4">
        <v>0.85704755783081055</v>
      </c>
      <c r="D16" s="91">
        <v>80</v>
      </c>
    </row>
    <row r="17" spans="1:4" x14ac:dyDescent="0.25">
      <c r="A17" s="5">
        <v>15</v>
      </c>
      <c r="B17" s="90" t="str">
        <f>IFERROR(IF(VLOOKUP(D17,'[1]Classificação 2ª Fase - A_B'!D$4:F$45,3,FALSE)&lt;&gt;"",VLOOKUP(D17,'[1]Classificação 2ª Fase - A_B'!D$4:F$45,3,FALSE),_xlfn.CONCAT("Eq ",D17)),_xlfn.CONCAT("Eq ",D17))</f>
        <v>Claudio Jr MG</v>
      </c>
      <c r="C17" s="4">
        <v>5.8965384960174561E-2</v>
      </c>
      <c r="D17" s="91">
        <v>45</v>
      </c>
    </row>
    <row r="18" spans="1:4" x14ac:dyDescent="0.25">
      <c r="A18" s="5">
        <v>16</v>
      </c>
      <c r="B18" s="90" t="str">
        <f>IFERROR(IF(VLOOKUP(D18,'[1]Classificação 2ª Fase - A_B'!D$4:F$45,3,FALSE)&lt;&gt;"",VLOOKUP(D18,'[1]Classificação 2ª Fase - A_B'!D$4:F$45,3,FALSE),_xlfn.CONCAT("Eq ",D18)),_xlfn.CONCAT("Eq ",D18))</f>
        <v>Kaka RJ</v>
      </c>
      <c r="C18" s="4">
        <v>0.57198631763458252</v>
      </c>
      <c r="D18" s="91">
        <v>52</v>
      </c>
    </row>
    <row r="19" spans="1:4" x14ac:dyDescent="0.25">
      <c r="A19" s="5">
        <v>17</v>
      </c>
      <c r="B19" s="90" t="str">
        <f>IFERROR(IF(VLOOKUP(D19,'[1]Classificação 2ª Fase - A_B'!D$4:F$45,3,FALSE)&lt;&gt;"",VLOOKUP(D19,'[1]Classificação 2ª Fase - A_B'!D$4:F$45,3,FALSE),_xlfn.CONCAT("Eq ",D19)),_xlfn.CONCAT("Eq ",D19))</f>
        <v>Almo PR</v>
      </c>
      <c r="C19" s="4">
        <v>0.11155205965042114</v>
      </c>
      <c r="D19" s="91">
        <v>57</v>
      </c>
    </row>
    <row r="20" spans="1:4" x14ac:dyDescent="0.25">
      <c r="A20" s="5">
        <v>18</v>
      </c>
      <c r="B20" s="90" t="str">
        <f>IFERROR(IF(VLOOKUP(D20,'[1]Classificação 2ª Fase - A_B'!D$4:F$45,3,FALSE)&lt;&gt;"",VLOOKUP(D20,'[1]Classificação 2ª Fase - A_B'!D$4:F$45,3,FALSE),_xlfn.CONCAT("Eq ",D20)),_xlfn.CONCAT("Eq ",D20))</f>
        <v>Cléo Jr SP</v>
      </c>
      <c r="C20" s="4">
        <v>0.43053793907165527</v>
      </c>
      <c r="D20" s="91">
        <v>64</v>
      </c>
    </row>
    <row r="21" spans="1:4" x14ac:dyDescent="0.25">
      <c r="A21" s="5">
        <v>19</v>
      </c>
      <c r="B21" s="90" t="str">
        <f>IFERROR(IF(VLOOKUP(D21,'[1]Classificação 2ª Fase - A_B'!D$4:F$45,3,FALSE)&lt;&gt;"",VLOOKUP(D21,'[1]Classificação 2ª Fase - A_B'!D$4:F$45,3,FALSE),_xlfn.CONCAT("Eq ",D21)),_xlfn.CONCAT("Eq ",D21))</f>
        <v>Afonso SP</v>
      </c>
      <c r="C21" s="4">
        <v>0.73915952444076538</v>
      </c>
      <c r="D21" s="91">
        <v>69</v>
      </c>
    </row>
    <row r="22" spans="1:4" x14ac:dyDescent="0.25">
      <c r="A22" s="5">
        <v>20</v>
      </c>
      <c r="B22" s="90" t="str">
        <f>IFERROR(IF(VLOOKUP(D22,'[1]Classificação 2ª Fase - A_B'!D$4:F$45,3,FALSE)&lt;&gt;"",VLOOKUP(D22,'[1]Classificação 2ª Fase - A_B'!D$4:F$45,3,FALSE),_xlfn.CONCAT("Eq ",D22)),_xlfn.CONCAT("Eq ",D22))</f>
        <v>Justa SP</v>
      </c>
      <c r="C22" s="4">
        <v>0.67234933376312256</v>
      </c>
      <c r="D22" s="91">
        <v>76</v>
      </c>
    </row>
    <row r="23" spans="1:4" x14ac:dyDescent="0.25">
      <c r="A23" s="5">
        <v>21</v>
      </c>
      <c r="B23" s="90" t="str">
        <f>IFERROR(IF(VLOOKUP(D23,'[1]Classificação 2ª Fase - A_B'!D$4:F$45,3,FALSE)&lt;&gt;"",VLOOKUP(D23,'[1]Classificação 2ª Fase - A_B'!D$4:F$45,3,FALSE),_xlfn.CONCAT("Eq ",D23)),_xlfn.CONCAT("Eq ",D23))</f>
        <v>Luiz Coelho SP</v>
      </c>
      <c r="C23" s="4">
        <v>0.23036962747573853</v>
      </c>
      <c r="D23" s="91">
        <v>81</v>
      </c>
    </row>
    <row r="24" spans="1:4" x14ac:dyDescent="0.25">
      <c r="A24" s="5">
        <v>22</v>
      </c>
      <c r="B24" s="90" t="str">
        <f>IFERROR(IF(VLOOKUP(D24,'[1]Classificação 2ª Fase - A_B'!D$4:F$45,3,FALSE)&lt;&gt;"",VLOOKUP(D24,'[1]Classificação 2ª Fase - A_B'!D$4:F$45,3,FALSE),_xlfn.CONCAT("Eq ",D24)),_xlfn.CONCAT("Eq ",D24))</f>
        <v>João Paulo MG</v>
      </c>
      <c r="C24" s="4">
        <v>0.55630874633789063</v>
      </c>
      <c r="D24" s="91">
        <v>46</v>
      </c>
    </row>
    <row r="25" spans="1:4" x14ac:dyDescent="0.25">
      <c r="A25" s="5">
        <v>23</v>
      </c>
      <c r="B25" s="90" t="str">
        <f>IFERROR(IF(VLOOKUP(D25,'[1]Classificação 2ª Fase - A_B'!D$4:F$45,3,FALSE)&lt;&gt;"",VLOOKUP(D25,'[1]Classificação 2ª Fase - A_B'!D$4:F$45,3,FALSE),_xlfn.CONCAT("Eq ",D25)),_xlfn.CONCAT("Eq ",D25))</f>
        <v>Alysson RJ</v>
      </c>
      <c r="C25" s="4">
        <v>0.71943682432174683</v>
      </c>
      <c r="D25" s="91">
        <v>51</v>
      </c>
    </row>
    <row r="26" spans="1:4" x14ac:dyDescent="0.25">
      <c r="A26" s="5">
        <v>24</v>
      </c>
      <c r="B26" s="90" t="str">
        <f>IFERROR(IF(VLOOKUP(D26,'[1]Classificação 2ª Fase - A_B'!D$4:F$45,3,FALSE)&lt;&gt;"",VLOOKUP(D26,'[1]Classificação 2ª Fase - A_B'!D$4:F$45,3,FALSE),_xlfn.CONCAT("Eq ",D26)),_xlfn.CONCAT("Eq ",D26))</f>
        <v>Marcelo Baceiredo MG</v>
      </c>
      <c r="C26" s="4">
        <v>0.57426035404205322</v>
      </c>
      <c r="D26" s="91">
        <v>58</v>
      </c>
    </row>
    <row r="27" spans="1:4" x14ac:dyDescent="0.25">
      <c r="A27" s="5">
        <v>25</v>
      </c>
      <c r="B27" s="90" t="str">
        <f>IFERROR(IF(VLOOKUP(D27,'[1]Classificação 2ª Fase - A_B'!D$4:F$45,3,FALSE)&lt;&gt;"",VLOOKUP(D27,'[1]Classificação 2ª Fase - A_B'!D$4:F$45,3,FALSE),_xlfn.CONCAT("Eq ",D27)),_xlfn.CONCAT("Eq ",D27))</f>
        <v>Renato Souza MG</v>
      </c>
      <c r="C27" s="4">
        <v>0.83915072679519653</v>
      </c>
      <c r="D27" s="91">
        <v>63</v>
      </c>
    </row>
    <row r="28" spans="1:4" x14ac:dyDescent="0.25">
      <c r="A28" s="5">
        <v>26</v>
      </c>
      <c r="B28" s="90" t="str">
        <f>IFERROR(IF(VLOOKUP(D28,'[1]Classificação 2ª Fase - A_B'!D$4:F$45,3,FALSE)&lt;&gt;"",VLOOKUP(D28,'[1]Classificação 2ª Fase - A_B'!D$4:F$45,3,FALSE),_xlfn.CONCAT("Eq ",D28)),_xlfn.CONCAT("Eq ",D28))</f>
        <v>Israel RJ</v>
      </c>
      <c r="C28" s="4">
        <v>0.4999392032623291</v>
      </c>
      <c r="D28" s="91">
        <v>70</v>
      </c>
    </row>
    <row r="29" spans="1:4" x14ac:dyDescent="0.25">
      <c r="A29" s="5">
        <v>27</v>
      </c>
      <c r="B29" s="90" t="str">
        <f>IFERROR(IF(VLOOKUP(D29,'[1]Classificação 2ª Fase - A_B'!D$4:F$45,3,FALSE)&lt;&gt;"",VLOOKUP(D29,'[1]Classificação 2ª Fase - A_B'!D$4:F$45,3,FALSE),_xlfn.CONCAT("Eq ",D29)),_xlfn.CONCAT("Eq ",D29))</f>
        <v>Tabajara SP</v>
      </c>
      <c r="C29" s="4">
        <v>0.5175737738609314</v>
      </c>
      <c r="D29" s="91">
        <v>75</v>
      </c>
    </row>
    <row r="30" spans="1:4" x14ac:dyDescent="0.25">
      <c r="A30" s="5">
        <v>28</v>
      </c>
      <c r="B30" s="90" t="str">
        <f>IFERROR(IF(VLOOKUP(D30,'[1]Classificação 2ª Fase - A_B'!D$4:F$45,3,FALSE)&lt;&gt;"",VLOOKUP(D30,'[1]Classificação 2ª Fase - A_B'!D$4:F$45,3,FALSE),_xlfn.CONCAT("Eq ",D30)),_xlfn.CONCAT("Eq ",D30))</f>
        <v>Claudio Mastrangelo RS</v>
      </c>
      <c r="C30" s="4">
        <v>0.80887782573699951</v>
      </c>
      <c r="D30" s="91">
        <v>82</v>
      </c>
    </row>
    <row r="31" spans="1:4" x14ac:dyDescent="0.25">
      <c r="A31" s="5">
        <v>29</v>
      </c>
      <c r="B31" s="90" t="str">
        <f>IFERROR(IF(VLOOKUP(D31,'[1]Classificação 2ª Fase - A_B'!D$4:F$45,3,FALSE)&lt;&gt;"",VLOOKUP(D31,'[1]Classificação 2ª Fase - A_B'!D$4:F$45,3,FALSE),_xlfn.CONCAT("Eq ",D31)),_xlfn.CONCAT("Eq ",D31))</f>
        <v>Alex Lage MG</v>
      </c>
      <c r="C31" s="4">
        <v>0.54475265741348267</v>
      </c>
      <c r="D31" s="91">
        <v>47</v>
      </c>
    </row>
    <row r="32" spans="1:4" x14ac:dyDescent="0.25">
      <c r="A32" s="5">
        <v>30</v>
      </c>
      <c r="B32" s="90" t="str">
        <f>IFERROR(IF(VLOOKUP(D32,'[1]Classificação 2ª Fase - A_B'!D$4:F$45,3,FALSE)&lt;&gt;"",VLOOKUP(D32,'[1]Classificação 2ª Fase - A_B'!D$4:F$45,3,FALSE),_xlfn.CONCAT("Eq ",D32)),_xlfn.CONCAT("Eq ",D32))</f>
        <v>André Araújo AM</v>
      </c>
      <c r="C32" s="4">
        <v>0.4617619514465332</v>
      </c>
      <c r="D32" s="91">
        <v>50</v>
      </c>
    </row>
    <row r="33" spans="1:4" x14ac:dyDescent="0.25">
      <c r="A33" s="5">
        <v>31</v>
      </c>
      <c r="B33" s="90" t="str">
        <f>IFERROR(IF(VLOOKUP(D33,'[1]Classificação 2ª Fase - A_B'!D$4:F$45,3,FALSE)&lt;&gt;"",VLOOKUP(D33,'[1]Classificação 2ª Fase - A_B'!D$4:F$45,3,FALSE),_xlfn.CONCAT("Eq ",D33)),_xlfn.CONCAT("Eq ",D33))</f>
        <v>João Carlos RJ</v>
      </c>
      <c r="C33" s="4">
        <v>0.13064068555831909</v>
      </c>
      <c r="D33" s="91">
        <v>59</v>
      </c>
    </row>
    <row r="34" spans="1:4" x14ac:dyDescent="0.25">
      <c r="A34" s="5">
        <v>32</v>
      </c>
      <c r="B34" s="90" t="str">
        <f>IFERROR(IF(VLOOKUP(D34,'[1]Classificação 2ª Fase - A_B'!D$4:F$45,3,FALSE)&lt;&gt;"",VLOOKUP(D34,'[1]Classificação 2ª Fase - A_B'!D$4:F$45,3,FALSE),_xlfn.CONCAT("Eq ",D34)),_xlfn.CONCAT("Eq ",D34))</f>
        <v>Vinicius Rolim RJ</v>
      </c>
      <c r="C34" s="4">
        <v>0.85842525959014893</v>
      </c>
      <c r="D34" s="91">
        <v>62</v>
      </c>
    </row>
    <row r="35" spans="1:4" x14ac:dyDescent="0.25">
      <c r="A35" s="5">
        <v>33</v>
      </c>
      <c r="B35" s="90" t="str">
        <f>IFERROR(IF(VLOOKUP(D35,'[1]Classificação 2ª Fase - A_B'!D$4:F$45,3,FALSE)&lt;&gt;"",VLOOKUP(D35,'[1]Classificação 2ª Fase - A_B'!D$4:F$45,3,FALSE),_xlfn.CONCAT("Eq ",D35)),_xlfn.CONCAT("Eq ",D35))</f>
        <v>Rogério MG</v>
      </c>
      <c r="C35" s="4">
        <v>8.1596195697784424E-2</v>
      </c>
      <c r="D35" s="91">
        <v>71</v>
      </c>
    </row>
    <row r="36" spans="1:4" x14ac:dyDescent="0.25">
      <c r="A36" s="5">
        <v>34</v>
      </c>
      <c r="B36" s="90" t="str">
        <f>IFERROR(IF(VLOOKUP(D36,'[1]Classificação 2ª Fase - A_B'!D$4:F$45,3,FALSE)&lt;&gt;"",VLOOKUP(D36,'[1]Classificação 2ª Fase - A_B'!D$4:F$45,3,FALSE),_xlfn.CONCAT("Eq ",D36)),_xlfn.CONCAT("Eq ",D36))</f>
        <v>Eduardo Rocha RJ</v>
      </c>
      <c r="C36" s="4">
        <v>2.187037467956543E-2</v>
      </c>
      <c r="D36" s="91">
        <v>74</v>
      </c>
    </row>
    <row r="37" spans="1:4" x14ac:dyDescent="0.25">
      <c r="A37" s="5">
        <v>35</v>
      </c>
      <c r="B37" s="90" t="str">
        <f>IFERROR(IF(VLOOKUP(D37,'[1]Classificação 2ª Fase - A_B'!D$4:F$45,3,FALSE)&lt;&gt;"",VLOOKUP(D37,'[1]Classificação 2ª Fase - A_B'!D$4:F$45,3,FALSE),_xlfn.CONCAT("Eq ",D37)),_xlfn.CONCAT("Eq ",D37))</f>
        <v>Curvelo RJ</v>
      </c>
      <c r="C37" s="4">
        <v>0.76775926351547241</v>
      </c>
      <c r="D37" s="91">
        <v>83</v>
      </c>
    </row>
    <row r="38" spans="1:4" x14ac:dyDescent="0.25">
      <c r="A38" s="5">
        <v>36</v>
      </c>
      <c r="B38" s="90" t="str">
        <f>IFERROR(IF(VLOOKUP(D38,'[1]Classificação 2ª Fase - A_B'!D$4:F$45,3,FALSE)&lt;&gt;"",VLOOKUP(D38,'[1]Classificação 2ª Fase - A_B'!D$4:F$45,3,FALSE),_xlfn.CONCAT("Eq ",D38)),_xlfn.CONCAT("Eq ",D38))</f>
        <v>Willow SP</v>
      </c>
      <c r="C38" s="4">
        <v>0.46318280696868896</v>
      </c>
      <c r="D38" s="91">
        <v>48</v>
      </c>
    </row>
    <row r="39" spans="1:4" x14ac:dyDescent="0.25">
      <c r="A39" s="5">
        <v>37</v>
      </c>
      <c r="B39" s="90" t="str">
        <f>IFERROR(IF(VLOOKUP(D39,'[1]Classificação 2ª Fase - A_B'!D$4:F$45,3,FALSE)&lt;&gt;"",VLOOKUP(D39,'[1]Classificação 2ª Fase - A_B'!D$4:F$45,3,FALSE),_xlfn.CONCAT("Eq ",D39)),_xlfn.CONCAT("Eq ",D39))</f>
        <v>Elsio SP</v>
      </c>
      <c r="C39" s="4">
        <v>0.90807062387466431</v>
      </c>
      <c r="D39" s="91">
        <v>49</v>
      </c>
    </row>
    <row r="40" spans="1:4" x14ac:dyDescent="0.25">
      <c r="A40" s="5">
        <v>38</v>
      </c>
      <c r="B40" s="90" t="str">
        <f>IFERROR(IF(VLOOKUP(D40,'[1]Classificação 2ª Fase - A_B'!D$4:F$45,3,FALSE)&lt;&gt;"",VLOOKUP(D40,'[1]Classificação 2ª Fase - A_B'!D$4:F$45,3,FALSE),_xlfn.CONCAT("Eq ",D40)),_xlfn.CONCAT("Eq ",D40))</f>
        <v>João Marcelo MG</v>
      </c>
      <c r="C40" s="4">
        <v>0.91761493682861328</v>
      </c>
      <c r="D40" s="91">
        <v>60</v>
      </c>
    </row>
    <row r="41" spans="1:4" x14ac:dyDescent="0.25">
      <c r="A41" s="5">
        <v>39</v>
      </c>
      <c r="B41" s="90" t="str">
        <f>IFERROR(IF(VLOOKUP(D41,'[1]Classificação 2ª Fase - A_B'!D$4:F$45,3,FALSE)&lt;&gt;"",VLOOKUP(D41,'[1]Classificação 2ª Fase - A_B'!D$4:F$45,3,FALSE),_xlfn.CONCAT("Eq ",D41)),_xlfn.CONCAT("Eq ",D41))</f>
        <v>Vitor Luiz</v>
      </c>
      <c r="C41" s="4">
        <v>0.76434820890426636</v>
      </c>
      <c r="D41" s="91">
        <v>61</v>
      </c>
    </row>
    <row r="42" spans="1:4" x14ac:dyDescent="0.25">
      <c r="A42" s="5">
        <v>40</v>
      </c>
      <c r="B42" s="90" t="str">
        <f>IFERROR(IF(VLOOKUP(D42,'[1]Classificação 2ª Fase - A_B'!D$4:F$45,3,FALSE)&lt;&gt;"",VLOOKUP(D42,'[1]Classificação 2ª Fase - A_B'!D$4:F$45,3,FALSE),_xlfn.CONCAT("Eq ",D42)),_xlfn.CONCAT("Eq ",D42))</f>
        <v>Marcelo Aranha SP</v>
      </c>
      <c r="C42" s="4">
        <v>0.36509382724761963</v>
      </c>
      <c r="D42" s="91">
        <v>72</v>
      </c>
    </row>
    <row r="43" spans="1:4" x14ac:dyDescent="0.25">
      <c r="A43" s="5">
        <v>41</v>
      </c>
      <c r="B43" s="90" t="str">
        <f>IFERROR(IF(VLOOKUP(D43,'[1]Classificação 2ª Fase - A_B'!D$4:F$45,3,FALSE)&lt;&gt;"",VLOOKUP(D43,'[1]Classificação 2ª Fase - A_B'!D$4:F$45,3,FALSE),_xlfn.CONCAT("Eq ",D43)),_xlfn.CONCAT("Eq ",D43))</f>
        <v>Tavares RJ</v>
      </c>
      <c r="C43" s="4">
        <v>0.54654532670974731</v>
      </c>
      <c r="D43" s="91">
        <v>73</v>
      </c>
    </row>
    <row r="44" spans="1:4" x14ac:dyDescent="0.25">
      <c r="A44" s="5">
        <v>42</v>
      </c>
      <c r="B44" s="90" t="str">
        <f>IFERROR(IF(VLOOKUP(D44,'[1]Classificação 2ª Fase - A_B'!D$4:F$45,3,FALSE)&lt;&gt;"",VLOOKUP(D44,'[1]Classificação 2ª Fase - A_B'!D$4:F$45,3,FALSE),_xlfn.CONCAT("Eq ",D44)),_xlfn.CONCAT("Eq ",D44))</f>
        <v>Bergamini SP</v>
      </c>
      <c r="C44" s="4">
        <v>0.89093899726867676</v>
      </c>
      <c r="D44" s="91">
        <v>84</v>
      </c>
    </row>
  </sheetData>
  <sheetProtection algorithmName="SHA-512" hashValue="52KZWqY4fmAr6y+ArIIQwxY3W2z5hv0MsDYBPmBwLwxo0RD1EiK70RKC4+f8DZNyGetojVCZ07k50+gWJrjUqQ==" saltValue="Zla55ztddkFhylJv58lxzw==" spinCount="100000" sheet="1" objects="1" scenarios="1" selectLockedCells="1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BBAAA-55E4-4969-9E3B-C7523035B5B1}">
  <dimension ref="A1:H55"/>
  <sheetViews>
    <sheetView showGridLines="0" workbookViewId="0">
      <pane ySplit="2" topLeftCell="A3" activePane="bottomLeft" state="frozen"/>
      <selection pane="bottomLeft" activeCell="A2" sqref="A2"/>
    </sheetView>
  </sheetViews>
  <sheetFormatPr defaultRowHeight="15.75" x14ac:dyDescent="0.25"/>
  <cols>
    <col min="1" max="1" width="5.7109375" style="1" customWidth="1"/>
    <col min="2" max="2" width="50.7109375" style="1" customWidth="1"/>
    <col min="3" max="4" width="9.140625" style="1"/>
    <col min="5" max="26" width="0" style="1" hidden="1" customWidth="1"/>
    <col min="27" max="16384" width="9.140625" style="1"/>
  </cols>
  <sheetData>
    <row r="1" spans="1:8" ht="20.25" x14ac:dyDescent="0.3">
      <c r="B1" s="2" t="s">
        <v>2</v>
      </c>
    </row>
    <row r="2" spans="1:8" x14ac:dyDescent="0.25">
      <c r="B2" s="3" t="s">
        <v>1</v>
      </c>
    </row>
    <row r="3" spans="1:8" x14ac:dyDescent="0.25">
      <c r="A3" s="6" t="s">
        <v>3</v>
      </c>
      <c r="E3" s="1">
        <v>1</v>
      </c>
      <c r="F3" s="1">
        <v>2</v>
      </c>
      <c r="G3" s="1">
        <v>3</v>
      </c>
      <c r="H3" s="1">
        <v>4</v>
      </c>
    </row>
    <row r="4" spans="1:8" x14ac:dyDescent="0.25">
      <c r="A4" s="1">
        <v>1</v>
      </c>
      <c r="B4" s="1" t="str">
        <f>VLOOKUP($A4, Equipes!$A$2:$B$44, 2, FALSE)</f>
        <v>Gabriel RJ</v>
      </c>
      <c r="E4" s="1">
        <v>5</v>
      </c>
      <c r="F4" s="1">
        <v>6</v>
      </c>
      <c r="G4" s="1">
        <v>7</v>
      </c>
    </row>
    <row r="5" spans="1:8" x14ac:dyDescent="0.25">
      <c r="A5" s="1">
        <v>2</v>
      </c>
      <c r="B5" s="1" t="str">
        <f>VLOOKUP($A5, Equipes!$A$2:$B$44, 2, FALSE)</f>
        <v>Mário Bürguel RS</v>
      </c>
    </row>
    <row r="6" spans="1:8" x14ac:dyDescent="0.25">
      <c r="A6" s="1">
        <v>3</v>
      </c>
      <c r="B6" s="1" t="str">
        <f>VLOOKUP($A6, Equipes!$A$2:$B$44, 2, FALSE)</f>
        <v>Dudu RJ</v>
      </c>
    </row>
    <row r="7" spans="1:8" x14ac:dyDescent="0.25">
      <c r="A7" s="1">
        <v>4</v>
      </c>
      <c r="B7" s="1" t="str">
        <f>VLOOKUP($A7, Equipes!$A$2:$B$44, 2, FALSE)</f>
        <v>Pablo Martins RJ</v>
      </c>
    </row>
    <row r="8" spans="1:8" x14ac:dyDescent="0.25">
      <c r="A8" s="1">
        <v>5</v>
      </c>
      <c r="B8" s="1" t="str">
        <f>VLOOKUP($A8, Equipes!$A$2:$B$44, 2, FALSE)</f>
        <v>Thiago Matoso RJ</v>
      </c>
    </row>
    <row r="9" spans="1:8" x14ac:dyDescent="0.25">
      <c r="A9" s="1">
        <v>6</v>
      </c>
      <c r="B9" s="1" t="str">
        <f>VLOOKUP($A9, Equipes!$A$2:$B$44, 2, FALSE)</f>
        <v>Rogelson PR</v>
      </c>
    </row>
    <row r="10" spans="1:8" x14ac:dyDescent="0.25">
      <c r="A10" s="1">
        <v>7</v>
      </c>
      <c r="B10" s="1" t="str">
        <f>VLOOKUP($A10, Equipes!$A$2:$B$44, 2, FALSE)</f>
        <v>Gabriel Lisboa PA</v>
      </c>
    </row>
    <row r="12" spans="1:8" x14ac:dyDescent="0.25">
      <c r="A12" s="6" t="s">
        <v>4</v>
      </c>
      <c r="E12" s="1">
        <v>8</v>
      </c>
      <c r="F12" s="1">
        <v>9</v>
      </c>
      <c r="G12" s="1">
        <v>10</v>
      </c>
      <c r="H12" s="1">
        <v>11</v>
      </c>
    </row>
    <row r="13" spans="1:8" x14ac:dyDescent="0.25">
      <c r="A13" s="1">
        <v>8</v>
      </c>
      <c r="B13" s="1" t="str">
        <f>VLOOKUP($A13, Equipes!$A$2:$B$44, 2, FALSE)</f>
        <v>Marcelinho RJ</v>
      </c>
      <c r="E13" s="1">
        <v>12</v>
      </c>
      <c r="F13" s="1">
        <v>13</v>
      </c>
      <c r="G13" s="1">
        <v>14</v>
      </c>
    </row>
    <row r="14" spans="1:8" x14ac:dyDescent="0.25">
      <c r="A14" s="1">
        <v>9</v>
      </c>
      <c r="B14" s="1" t="str">
        <f>VLOOKUP($A14, Equipes!$A$2:$B$44, 2, FALSE)</f>
        <v>Capela SC</v>
      </c>
    </row>
    <row r="15" spans="1:8" x14ac:dyDescent="0.25">
      <c r="A15" s="1">
        <v>10</v>
      </c>
      <c r="B15" s="1" t="str">
        <f>VLOOKUP($A15, Equipes!$A$2:$B$44, 2, FALSE)</f>
        <v>Roberto Giolo MS</v>
      </c>
    </row>
    <row r="16" spans="1:8" x14ac:dyDescent="0.25">
      <c r="A16" s="1">
        <v>11</v>
      </c>
      <c r="B16" s="1" t="str">
        <f>VLOOKUP($A16, Equipes!$A$2:$B$44, 2, FALSE)</f>
        <v>Diogo SP</v>
      </c>
    </row>
    <row r="17" spans="1:8" x14ac:dyDescent="0.25">
      <c r="A17" s="1">
        <v>12</v>
      </c>
      <c r="B17" s="1" t="str">
        <f>VLOOKUP($A17, Equipes!$A$2:$B$44, 2, FALSE)</f>
        <v>Lian MG</v>
      </c>
    </row>
    <row r="18" spans="1:8" x14ac:dyDescent="0.25">
      <c r="A18" s="1">
        <v>13</v>
      </c>
      <c r="B18" s="1" t="str">
        <f>VLOOKUP($A18, Equipes!$A$2:$B$44, 2, FALSE)</f>
        <v>Eduardo Massa MG</v>
      </c>
    </row>
    <row r="19" spans="1:8" x14ac:dyDescent="0.25">
      <c r="A19" s="1">
        <v>14</v>
      </c>
      <c r="B19" s="1" t="str">
        <f>VLOOKUP($A19, Equipes!$A$2:$B$44, 2, FALSE)</f>
        <v>Ronaldo Eifler RS</v>
      </c>
    </row>
    <row r="21" spans="1:8" x14ac:dyDescent="0.25">
      <c r="A21" s="6" t="s">
        <v>5</v>
      </c>
      <c r="E21" s="1">
        <v>15</v>
      </c>
      <c r="F21" s="1">
        <v>16</v>
      </c>
      <c r="G21" s="1">
        <v>17</v>
      </c>
      <c r="H21" s="1">
        <v>18</v>
      </c>
    </row>
    <row r="22" spans="1:8" x14ac:dyDescent="0.25">
      <c r="A22" s="1">
        <v>15</v>
      </c>
      <c r="B22" s="1" t="str">
        <f>VLOOKUP($A22, Equipes!$A$2:$B$44, 2, FALSE)</f>
        <v>Claudio Jr MG</v>
      </c>
      <c r="E22" s="1">
        <v>19</v>
      </c>
      <c r="F22" s="1">
        <v>20</v>
      </c>
      <c r="G22" s="1">
        <v>21</v>
      </c>
    </row>
    <row r="23" spans="1:8" x14ac:dyDescent="0.25">
      <c r="A23" s="1">
        <v>16</v>
      </c>
      <c r="B23" s="1" t="str">
        <f>VLOOKUP($A23, Equipes!$A$2:$B$44, 2, FALSE)</f>
        <v>Kaka RJ</v>
      </c>
    </row>
    <row r="24" spans="1:8" x14ac:dyDescent="0.25">
      <c r="A24" s="1">
        <v>17</v>
      </c>
      <c r="B24" s="1" t="str">
        <f>VLOOKUP($A24, Equipes!$A$2:$B$44, 2, FALSE)</f>
        <v>Almo PR</v>
      </c>
    </row>
    <row r="25" spans="1:8" x14ac:dyDescent="0.25">
      <c r="A25" s="1">
        <v>18</v>
      </c>
      <c r="B25" s="1" t="str">
        <f>VLOOKUP($A25, Equipes!$A$2:$B$44, 2, FALSE)</f>
        <v>Cléo Jr SP</v>
      </c>
    </row>
    <row r="26" spans="1:8" x14ac:dyDescent="0.25">
      <c r="A26" s="1">
        <v>19</v>
      </c>
      <c r="B26" s="1" t="str">
        <f>VLOOKUP($A26, Equipes!$A$2:$B$44, 2, FALSE)</f>
        <v>Afonso SP</v>
      </c>
    </row>
    <row r="27" spans="1:8" x14ac:dyDescent="0.25">
      <c r="A27" s="1">
        <v>20</v>
      </c>
      <c r="B27" s="1" t="str">
        <f>VLOOKUP($A27, Equipes!$A$2:$B$44, 2, FALSE)</f>
        <v>Justa SP</v>
      </c>
    </row>
    <row r="28" spans="1:8" x14ac:dyDescent="0.25">
      <c r="A28" s="1">
        <v>21</v>
      </c>
      <c r="B28" s="1" t="str">
        <f>VLOOKUP($A28, Equipes!$A$2:$B$44, 2, FALSE)</f>
        <v>Luiz Coelho SP</v>
      </c>
    </row>
    <row r="30" spans="1:8" x14ac:dyDescent="0.25">
      <c r="A30" s="6" t="s">
        <v>6</v>
      </c>
      <c r="E30" s="1">
        <v>22</v>
      </c>
      <c r="F30" s="1">
        <v>23</v>
      </c>
      <c r="G30" s="1">
        <v>24</v>
      </c>
      <c r="H30" s="1">
        <v>25</v>
      </c>
    </row>
    <row r="31" spans="1:8" x14ac:dyDescent="0.25">
      <c r="A31" s="1">
        <v>22</v>
      </c>
      <c r="B31" s="1" t="str">
        <f>VLOOKUP($A31, Equipes!$A$2:$B$44, 2, FALSE)</f>
        <v>João Paulo MG</v>
      </c>
      <c r="E31" s="1">
        <v>26</v>
      </c>
      <c r="F31" s="1">
        <v>27</v>
      </c>
      <c r="G31" s="1">
        <v>28</v>
      </c>
    </row>
    <row r="32" spans="1:8" x14ac:dyDescent="0.25">
      <c r="A32" s="1">
        <v>23</v>
      </c>
      <c r="B32" s="1" t="str">
        <f>VLOOKUP($A32, Equipes!$A$2:$B$44, 2, FALSE)</f>
        <v>Alysson RJ</v>
      </c>
    </row>
    <row r="33" spans="1:8" x14ac:dyDescent="0.25">
      <c r="A33" s="1">
        <v>24</v>
      </c>
      <c r="B33" s="1" t="str">
        <f>VLOOKUP($A33, Equipes!$A$2:$B$44, 2, FALSE)</f>
        <v>Marcelo Baceiredo MG</v>
      </c>
    </row>
    <row r="34" spans="1:8" x14ac:dyDescent="0.25">
      <c r="A34" s="1">
        <v>25</v>
      </c>
      <c r="B34" s="1" t="str">
        <f>VLOOKUP($A34, Equipes!$A$2:$B$44, 2, FALSE)</f>
        <v>Renato Souza MG</v>
      </c>
    </row>
    <row r="35" spans="1:8" x14ac:dyDescent="0.25">
      <c r="A35" s="1">
        <v>26</v>
      </c>
      <c r="B35" s="1" t="str">
        <f>VLOOKUP($A35, Equipes!$A$2:$B$44, 2, FALSE)</f>
        <v>Israel RJ</v>
      </c>
    </row>
    <row r="36" spans="1:8" x14ac:dyDescent="0.25">
      <c r="A36" s="1">
        <v>27</v>
      </c>
      <c r="B36" s="1" t="str">
        <f>VLOOKUP($A36, Equipes!$A$2:$B$44, 2, FALSE)</f>
        <v>Tabajara SP</v>
      </c>
    </row>
    <row r="37" spans="1:8" x14ac:dyDescent="0.25">
      <c r="A37" s="1">
        <v>28</v>
      </c>
      <c r="B37" s="1" t="str">
        <f>VLOOKUP($A37, Equipes!$A$2:$B$44, 2, FALSE)</f>
        <v>Claudio Mastrangelo RS</v>
      </c>
    </row>
    <row r="39" spans="1:8" x14ac:dyDescent="0.25">
      <c r="A39" s="6" t="s">
        <v>7</v>
      </c>
      <c r="E39" s="1">
        <v>29</v>
      </c>
      <c r="F39" s="1">
        <v>30</v>
      </c>
      <c r="G39" s="1">
        <v>31</v>
      </c>
      <c r="H39" s="1">
        <v>32</v>
      </c>
    </row>
    <row r="40" spans="1:8" x14ac:dyDescent="0.25">
      <c r="A40" s="1">
        <v>29</v>
      </c>
      <c r="B40" s="1" t="str">
        <f>VLOOKUP($A40, Equipes!$A$2:$B$44, 2, FALSE)</f>
        <v>Alex Lage MG</v>
      </c>
      <c r="E40" s="1">
        <v>33</v>
      </c>
      <c r="F40" s="1">
        <v>34</v>
      </c>
      <c r="G40" s="1">
        <v>35</v>
      </c>
    </row>
    <row r="41" spans="1:8" x14ac:dyDescent="0.25">
      <c r="A41" s="1">
        <v>30</v>
      </c>
      <c r="B41" s="1" t="str">
        <f>VLOOKUP($A41, Equipes!$A$2:$B$44, 2, FALSE)</f>
        <v>André Araújo AM</v>
      </c>
    </row>
    <row r="42" spans="1:8" x14ac:dyDescent="0.25">
      <c r="A42" s="1">
        <v>31</v>
      </c>
      <c r="B42" s="1" t="str">
        <f>VLOOKUP($A42, Equipes!$A$2:$B$44, 2, FALSE)</f>
        <v>João Carlos RJ</v>
      </c>
    </row>
    <row r="43" spans="1:8" x14ac:dyDescent="0.25">
      <c r="A43" s="1">
        <v>32</v>
      </c>
      <c r="B43" s="1" t="str">
        <f>VLOOKUP($A43, Equipes!$A$2:$B$44, 2, FALSE)</f>
        <v>Vinicius Rolim RJ</v>
      </c>
    </row>
    <row r="44" spans="1:8" x14ac:dyDescent="0.25">
      <c r="A44" s="1">
        <v>33</v>
      </c>
      <c r="B44" s="1" t="str">
        <f>VLOOKUP($A44, Equipes!$A$2:$B$44, 2, FALSE)</f>
        <v>Rogério MG</v>
      </c>
    </row>
    <row r="45" spans="1:8" x14ac:dyDescent="0.25">
      <c r="A45" s="1">
        <v>34</v>
      </c>
      <c r="B45" s="1" t="str">
        <f>VLOOKUP($A45, Equipes!$A$2:$B$44, 2, FALSE)</f>
        <v>Eduardo Rocha RJ</v>
      </c>
    </row>
    <row r="46" spans="1:8" x14ac:dyDescent="0.25">
      <c r="A46" s="1">
        <v>35</v>
      </c>
      <c r="B46" s="1" t="str">
        <f>VLOOKUP($A46, Equipes!$A$2:$B$44, 2, FALSE)</f>
        <v>Curvelo RJ</v>
      </c>
    </row>
    <row r="48" spans="1:8" x14ac:dyDescent="0.25">
      <c r="A48" s="6" t="s">
        <v>8</v>
      </c>
      <c r="E48" s="1">
        <v>36</v>
      </c>
      <c r="F48" s="1">
        <v>37</v>
      </c>
      <c r="G48" s="1">
        <v>38</v>
      </c>
      <c r="H48" s="1">
        <v>39</v>
      </c>
    </row>
    <row r="49" spans="1:7" x14ac:dyDescent="0.25">
      <c r="A49" s="1">
        <v>36</v>
      </c>
      <c r="B49" s="1" t="str">
        <f>VLOOKUP($A49, Equipes!$A$2:$B$44, 2, FALSE)</f>
        <v>Willow SP</v>
      </c>
      <c r="E49" s="1">
        <v>40</v>
      </c>
      <c r="F49" s="1">
        <v>41</v>
      </c>
      <c r="G49" s="1">
        <v>42</v>
      </c>
    </row>
    <row r="50" spans="1:7" x14ac:dyDescent="0.25">
      <c r="A50" s="1">
        <v>37</v>
      </c>
      <c r="B50" s="1" t="str">
        <f>VLOOKUP($A50, Equipes!$A$2:$B$44, 2, FALSE)</f>
        <v>Elsio SP</v>
      </c>
    </row>
    <row r="51" spans="1:7" x14ac:dyDescent="0.25">
      <c r="A51" s="1">
        <v>38</v>
      </c>
      <c r="B51" s="1" t="str">
        <f>VLOOKUP($A51, Equipes!$A$2:$B$44, 2, FALSE)</f>
        <v>João Marcelo MG</v>
      </c>
    </row>
    <row r="52" spans="1:7" x14ac:dyDescent="0.25">
      <c r="A52" s="1">
        <v>39</v>
      </c>
      <c r="B52" s="1" t="str">
        <f>VLOOKUP($A52, Equipes!$A$2:$B$44, 2, FALSE)</f>
        <v>Vitor Luiz</v>
      </c>
    </row>
    <row r="53" spans="1:7" x14ac:dyDescent="0.25">
      <c r="A53" s="1">
        <v>40</v>
      </c>
      <c r="B53" s="1" t="str">
        <f>VLOOKUP($A53, Equipes!$A$2:$B$44, 2, FALSE)</f>
        <v>Marcelo Aranha SP</v>
      </c>
    </row>
    <row r="54" spans="1:7" x14ac:dyDescent="0.25">
      <c r="A54" s="1">
        <v>41</v>
      </c>
      <c r="B54" s="1" t="str">
        <f>VLOOKUP($A54, Equipes!$A$2:$B$44, 2, FALSE)</f>
        <v>Tavares RJ</v>
      </c>
    </row>
    <row r="55" spans="1:7" x14ac:dyDescent="0.25">
      <c r="A55" s="1">
        <v>42</v>
      </c>
      <c r="B55" s="1" t="str">
        <f>VLOOKUP($A55, Equipes!$A$2:$B$44, 2, FALSE)</f>
        <v>Bergamini SP</v>
      </c>
    </row>
  </sheetData>
  <sheetProtection algorithmName="SHA-512" hashValue="ckjwXsfAe8ONc541pgn80nX5XX89RWNZzvj79emdRH2VRsLotcRo1tuVI4geOlfQFDckWzMIiOYkAb+zBk5Y4Q==" saltValue="amjgQyKgHsVGjcqYwYbtjg==" spinCount="100000" sheet="1" objects="1" scenarios="1" selectLockedCells="1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0E2DD-13EA-47B7-B32F-93D550583FA6}">
  <dimension ref="A1:W136"/>
  <sheetViews>
    <sheetView showGridLines="0" topLeftCell="B1" workbookViewId="0">
      <pane ySplit="2" topLeftCell="A3" activePane="bottomLeft" state="frozen"/>
      <selection activeCell="B1" sqref="B1"/>
      <selection pane="bottomLeft" activeCell="C4" sqref="C4"/>
    </sheetView>
  </sheetViews>
  <sheetFormatPr defaultRowHeight="15.75" x14ac:dyDescent="0.25"/>
  <cols>
    <col min="1" max="1" width="2.7109375" style="7" hidden="1" customWidth="1"/>
    <col min="2" max="2" width="40.7109375" style="8" customWidth="1"/>
    <col min="3" max="5" width="4.7109375" style="9" customWidth="1"/>
    <col min="6" max="6" width="40.7109375" style="10" customWidth="1"/>
    <col min="7" max="7" width="2.7109375" style="7" hidden="1" customWidth="1"/>
    <col min="8" max="10" width="8.7109375" style="8" customWidth="1"/>
    <col min="11" max="11" width="10.7109375" style="8" customWidth="1"/>
    <col min="12" max="12" width="9.140625" style="1"/>
    <col min="13" max="23" width="5.7109375" style="8" hidden="1" customWidth="1"/>
    <col min="24" max="16384" width="9.140625" style="1"/>
  </cols>
  <sheetData>
    <row r="1" spans="1:23" ht="20.25" x14ac:dyDescent="0.3">
      <c r="B1" s="2" t="s">
        <v>9</v>
      </c>
      <c r="M1" s="8" t="s">
        <v>10</v>
      </c>
    </row>
    <row r="2" spans="1:23" x14ac:dyDescent="0.25">
      <c r="B2" s="3" t="s">
        <v>1</v>
      </c>
      <c r="M2" s="8">
        <v>126</v>
      </c>
    </row>
    <row r="3" spans="1:23" x14ac:dyDescent="0.25">
      <c r="B3" s="12" t="s">
        <v>11</v>
      </c>
      <c r="C3" s="13"/>
      <c r="D3" s="13"/>
      <c r="E3" s="13"/>
      <c r="F3" s="14"/>
      <c r="G3" s="15"/>
      <c r="H3" s="12" t="s">
        <v>12</v>
      </c>
      <c r="I3" s="12" t="s">
        <v>13</v>
      </c>
      <c r="J3" s="12" t="s">
        <v>14</v>
      </c>
      <c r="K3" s="16">
        <v>44850.416666666664</v>
      </c>
      <c r="M3" s="11" t="s">
        <v>15</v>
      </c>
      <c r="N3" s="11" t="s">
        <v>15</v>
      </c>
      <c r="O3" s="11" t="s">
        <v>16</v>
      </c>
      <c r="P3" s="11" t="s">
        <v>17</v>
      </c>
      <c r="Q3" s="11" t="s">
        <v>17</v>
      </c>
      <c r="R3" s="11" t="s">
        <v>18</v>
      </c>
      <c r="S3" s="11" t="s">
        <v>19</v>
      </c>
      <c r="T3" s="11" t="s">
        <v>20</v>
      </c>
      <c r="U3" s="11" t="s">
        <v>16</v>
      </c>
      <c r="V3" s="11" t="s">
        <v>21</v>
      </c>
      <c r="W3" s="11" t="s">
        <v>22</v>
      </c>
    </row>
    <row r="4" spans="1:23" x14ac:dyDescent="0.25">
      <c r="A4" s="7">
        <v>1</v>
      </c>
      <c r="B4" s="8" t="str">
        <f>VLOOKUP($A4, Equipes!$A$3:$B$44, 2, FALSE)</f>
        <v>Gabriel RJ</v>
      </c>
      <c r="C4" s="17">
        <v>2</v>
      </c>
      <c r="D4" s="9" t="s">
        <v>23</v>
      </c>
      <c r="E4" s="17">
        <v>1</v>
      </c>
      <c r="F4" s="10" t="str">
        <f>VLOOKUP($G4, Equipes!$A$3:$B$44, 2, FALSE)</f>
        <v>Thiago Matoso RJ</v>
      </c>
      <c r="G4" s="7">
        <v>5</v>
      </c>
      <c r="H4" s="8">
        <v>17</v>
      </c>
      <c r="I4" s="8" t="s">
        <v>24</v>
      </c>
      <c r="J4" s="8">
        <v>1</v>
      </c>
      <c r="M4" s="8" t="str">
        <f t="shared" ref="M4:M19" si="0">IF(OR(C4 = "",E4 = ""), "", B4)</f>
        <v>Gabriel RJ</v>
      </c>
      <c r="N4" s="8" t="str">
        <f t="shared" ref="N4:N19" si="1">IF(OR(C4 = "",E4 = ""), "", F4)</f>
        <v>Thiago Matoso RJ</v>
      </c>
      <c r="O4" s="8" t="str">
        <f t="shared" ref="O4:O19" si="2">IF(C4&gt;E4,B4, IF(E4&gt;C4,F4, ""))</f>
        <v>Gabriel RJ</v>
      </c>
      <c r="P4" s="8" t="str">
        <f t="shared" ref="P4:P19" si="3">IF(OR(C4 = "",E4 = ""), "", IF(C4=E4,B4, ""))</f>
        <v/>
      </c>
      <c r="Q4" s="8" t="str">
        <f t="shared" ref="Q4:Q19" si="4">IF(OR(C4 = "",E4 = ""), "", IF(C4=E4,F4, ""))</f>
        <v/>
      </c>
      <c r="R4" s="8" t="str">
        <f t="shared" ref="R4:R19" si="5">IF(C4&gt;E4,F4, IF(E4&gt;C4,B4, ""))</f>
        <v>Thiago Matoso RJ</v>
      </c>
      <c r="S4" s="8" t="str">
        <f t="shared" ref="S4:S19" si="6">IF(OR(C4 = "",E4 = ""), "", B4)</f>
        <v>Gabriel RJ</v>
      </c>
      <c r="T4" s="8">
        <f t="shared" ref="T4:T19" si="7">IF(C4 = "", "", C4)</f>
        <v>2</v>
      </c>
      <c r="U4" s="8" t="str">
        <f t="shared" ref="U4:U19" si="8">IF(OR(C4 = "",E4 = ""), "", F4)</f>
        <v>Thiago Matoso RJ</v>
      </c>
      <c r="V4" s="8">
        <f t="shared" ref="V4:V19" si="9">IF(E4 = "", "", E4)</f>
        <v>1</v>
      </c>
      <c r="W4" s="8">
        <f t="shared" ref="W4:W19" si="10">IF(C4 = "", "", C4)</f>
        <v>2</v>
      </c>
    </row>
    <row r="5" spans="1:23" x14ac:dyDescent="0.25">
      <c r="A5" s="7">
        <v>2</v>
      </c>
      <c r="B5" s="18" t="str">
        <f>VLOOKUP($A5, Equipes!$A$3:$B$44, 2, FALSE)</f>
        <v>Mário Bürguel RS</v>
      </c>
      <c r="C5" s="17">
        <v>1</v>
      </c>
      <c r="D5" s="19" t="s">
        <v>23</v>
      </c>
      <c r="E5" s="17">
        <v>0</v>
      </c>
      <c r="F5" s="20" t="str">
        <f>VLOOKUP($G5, Equipes!$A$3:$B$44, 2, FALSE)</f>
        <v>Rogelson PR</v>
      </c>
      <c r="G5" s="21">
        <v>6</v>
      </c>
      <c r="H5" s="18">
        <v>18</v>
      </c>
      <c r="I5" s="18" t="s">
        <v>24</v>
      </c>
      <c r="J5" s="18">
        <v>1</v>
      </c>
      <c r="K5" s="18"/>
      <c r="M5" s="8" t="str">
        <f t="shared" si="0"/>
        <v>Mário Bürguel RS</v>
      </c>
      <c r="N5" s="8" t="str">
        <f t="shared" si="1"/>
        <v>Rogelson PR</v>
      </c>
      <c r="O5" s="8" t="str">
        <f t="shared" si="2"/>
        <v>Mário Bürguel RS</v>
      </c>
      <c r="P5" s="8" t="str">
        <f t="shared" si="3"/>
        <v/>
      </c>
      <c r="Q5" s="8" t="str">
        <f t="shared" si="4"/>
        <v/>
      </c>
      <c r="R5" s="8" t="str">
        <f t="shared" si="5"/>
        <v>Rogelson PR</v>
      </c>
      <c r="S5" s="8" t="str">
        <f t="shared" si="6"/>
        <v>Mário Bürguel RS</v>
      </c>
      <c r="T5" s="8">
        <f t="shared" si="7"/>
        <v>1</v>
      </c>
      <c r="U5" s="8" t="str">
        <f t="shared" si="8"/>
        <v>Rogelson PR</v>
      </c>
      <c r="V5" s="8">
        <f t="shared" si="9"/>
        <v>0</v>
      </c>
      <c r="W5" s="8">
        <f t="shared" si="10"/>
        <v>1</v>
      </c>
    </row>
    <row r="6" spans="1:23" x14ac:dyDescent="0.25">
      <c r="A6" s="7">
        <v>3</v>
      </c>
      <c r="B6" s="8" t="str">
        <f>VLOOKUP($A6, Equipes!$A$3:$B$44, 2, FALSE)</f>
        <v>Dudu RJ</v>
      </c>
      <c r="C6" s="17">
        <v>0</v>
      </c>
      <c r="D6" s="9" t="s">
        <v>23</v>
      </c>
      <c r="E6" s="17">
        <v>1</v>
      </c>
      <c r="F6" s="10" t="str">
        <f>VLOOKUP($G6, Equipes!$A$3:$B$44, 2, FALSE)</f>
        <v>Gabriel Lisboa PA</v>
      </c>
      <c r="G6" s="7">
        <v>7</v>
      </c>
      <c r="H6" s="8">
        <v>19</v>
      </c>
      <c r="I6" s="8" t="s">
        <v>24</v>
      </c>
      <c r="J6" s="8">
        <v>1</v>
      </c>
      <c r="M6" s="8" t="str">
        <f t="shared" si="0"/>
        <v>Dudu RJ</v>
      </c>
      <c r="N6" s="8" t="str">
        <f t="shared" si="1"/>
        <v>Gabriel Lisboa PA</v>
      </c>
      <c r="O6" s="8" t="str">
        <f t="shared" si="2"/>
        <v>Gabriel Lisboa PA</v>
      </c>
      <c r="P6" s="8" t="str">
        <f t="shared" si="3"/>
        <v/>
      </c>
      <c r="Q6" s="8" t="str">
        <f t="shared" si="4"/>
        <v/>
      </c>
      <c r="R6" s="8" t="str">
        <f t="shared" si="5"/>
        <v>Dudu RJ</v>
      </c>
      <c r="S6" s="8" t="str">
        <f t="shared" si="6"/>
        <v>Dudu RJ</v>
      </c>
      <c r="T6" s="8">
        <f t="shared" si="7"/>
        <v>0</v>
      </c>
      <c r="U6" s="8" t="str">
        <f t="shared" si="8"/>
        <v>Gabriel Lisboa PA</v>
      </c>
      <c r="V6" s="8">
        <f t="shared" si="9"/>
        <v>1</v>
      </c>
      <c r="W6" s="8">
        <f t="shared" si="10"/>
        <v>0</v>
      </c>
    </row>
    <row r="7" spans="1:23" x14ac:dyDescent="0.25">
      <c r="A7" s="7">
        <v>8</v>
      </c>
      <c r="B7" s="18" t="str">
        <f>VLOOKUP($A7, Equipes!$A$3:$B$44, 2, FALSE)</f>
        <v>Marcelinho RJ</v>
      </c>
      <c r="C7" s="17">
        <v>0</v>
      </c>
      <c r="D7" s="19" t="s">
        <v>23</v>
      </c>
      <c r="E7" s="17">
        <v>5</v>
      </c>
      <c r="F7" s="20" t="str">
        <f>VLOOKUP($G7, Equipes!$A$3:$B$44, 2, FALSE)</f>
        <v>Lian MG</v>
      </c>
      <c r="G7" s="21">
        <v>12</v>
      </c>
      <c r="H7" s="18">
        <v>20</v>
      </c>
      <c r="I7" s="18" t="s">
        <v>25</v>
      </c>
      <c r="J7" s="18">
        <v>1</v>
      </c>
      <c r="K7" s="18"/>
      <c r="M7" s="8" t="str">
        <f t="shared" si="0"/>
        <v>Marcelinho RJ</v>
      </c>
      <c r="N7" s="8" t="str">
        <f t="shared" si="1"/>
        <v>Lian MG</v>
      </c>
      <c r="O7" s="8" t="str">
        <f t="shared" si="2"/>
        <v>Lian MG</v>
      </c>
      <c r="P7" s="8" t="str">
        <f t="shared" si="3"/>
        <v/>
      </c>
      <c r="Q7" s="8" t="str">
        <f t="shared" si="4"/>
        <v/>
      </c>
      <c r="R7" s="8" t="str">
        <f t="shared" si="5"/>
        <v>Marcelinho RJ</v>
      </c>
      <c r="S7" s="8" t="str">
        <f t="shared" si="6"/>
        <v>Marcelinho RJ</v>
      </c>
      <c r="T7" s="8">
        <f t="shared" si="7"/>
        <v>0</v>
      </c>
      <c r="U7" s="8" t="str">
        <f t="shared" si="8"/>
        <v>Lian MG</v>
      </c>
      <c r="V7" s="8">
        <f t="shared" si="9"/>
        <v>5</v>
      </c>
      <c r="W7" s="8">
        <f t="shared" si="10"/>
        <v>0</v>
      </c>
    </row>
    <row r="8" spans="1:23" x14ac:dyDescent="0.25">
      <c r="A8" s="7">
        <v>9</v>
      </c>
      <c r="B8" s="8" t="str">
        <f>VLOOKUP($A8, Equipes!$A$3:$B$44, 2, FALSE)</f>
        <v>Capela SC</v>
      </c>
      <c r="C8" s="17">
        <v>1</v>
      </c>
      <c r="D8" s="9" t="s">
        <v>23</v>
      </c>
      <c r="E8" s="17">
        <v>1</v>
      </c>
      <c r="F8" s="10" t="str">
        <f>VLOOKUP($G8, Equipes!$A$3:$B$44, 2, FALSE)</f>
        <v>Eduardo Massa MG</v>
      </c>
      <c r="G8" s="7">
        <v>13</v>
      </c>
      <c r="H8" s="8">
        <v>21</v>
      </c>
      <c r="I8" s="8" t="s">
        <v>25</v>
      </c>
      <c r="J8" s="8">
        <v>1</v>
      </c>
      <c r="M8" s="8" t="str">
        <f t="shared" si="0"/>
        <v>Capela SC</v>
      </c>
      <c r="N8" s="8" t="str">
        <f t="shared" si="1"/>
        <v>Eduardo Massa MG</v>
      </c>
      <c r="O8" s="8" t="str">
        <f t="shared" si="2"/>
        <v/>
      </c>
      <c r="P8" s="8" t="str">
        <f t="shared" si="3"/>
        <v>Capela SC</v>
      </c>
      <c r="Q8" s="8" t="str">
        <f t="shared" si="4"/>
        <v>Eduardo Massa MG</v>
      </c>
      <c r="R8" s="8" t="str">
        <f t="shared" si="5"/>
        <v/>
      </c>
      <c r="S8" s="8" t="str">
        <f t="shared" si="6"/>
        <v>Capela SC</v>
      </c>
      <c r="T8" s="8">
        <f t="shared" si="7"/>
        <v>1</v>
      </c>
      <c r="U8" s="8" t="str">
        <f t="shared" si="8"/>
        <v>Eduardo Massa MG</v>
      </c>
      <c r="V8" s="8">
        <f t="shared" si="9"/>
        <v>1</v>
      </c>
      <c r="W8" s="8">
        <f t="shared" si="10"/>
        <v>1</v>
      </c>
    </row>
    <row r="9" spans="1:23" x14ac:dyDescent="0.25">
      <c r="A9" s="7">
        <v>10</v>
      </c>
      <c r="B9" s="18" t="str">
        <f>VLOOKUP($A9, Equipes!$A$3:$B$44, 2, FALSE)</f>
        <v>Roberto Giolo MS</v>
      </c>
      <c r="C9" s="17">
        <v>1</v>
      </c>
      <c r="D9" s="19" t="s">
        <v>23</v>
      </c>
      <c r="E9" s="17">
        <v>0</v>
      </c>
      <c r="F9" s="20" t="str">
        <f>VLOOKUP($G9, Equipes!$A$3:$B$44, 2, FALSE)</f>
        <v>Ronaldo Eifler RS</v>
      </c>
      <c r="G9" s="21">
        <v>14</v>
      </c>
      <c r="H9" s="18">
        <v>22</v>
      </c>
      <c r="I9" s="18" t="s">
        <v>25</v>
      </c>
      <c r="J9" s="18">
        <v>1</v>
      </c>
      <c r="K9" s="18"/>
      <c r="M9" s="8" t="str">
        <f t="shared" si="0"/>
        <v>Roberto Giolo MS</v>
      </c>
      <c r="N9" s="8" t="str">
        <f t="shared" si="1"/>
        <v>Ronaldo Eifler RS</v>
      </c>
      <c r="O9" s="8" t="str">
        <f t="shared" si="2"/>
        <v>Roberto Giolo MS</v>
      </c>
      <c r="P9" s="8" t="str">
        <f t="shared" si="3"/>
        <v/>
      </c>
      <c r="Q9" s="8" t="str">
        <f t="shared" si="4"/>
        <v/>
      </c>
      <c r="R9" s="8" t="str">
        <f t="shared" si="5"/>
        <v>Ronaldo Eifler RS</v>
      </c>
      <c r="S9" s="8" t="str">
        <f t="shared" si="6"/>
        <v>Roberto Giolo MS</v>
      </c>
      <c r="T9" s="8">
        <f t="shared" si="7"/>
        <v>1</v>
      </c>
      <c r="U9" s="8" t="str">
        <f t="shared" si="8"/>
        <v>Ronaldo Eifler RS</v>
      </c>
      <c r="V9" s="8">
        <f t="shared" si="9"/>
        <v>0</v>
      </c>
      <c r="W9" s="8">
        <f t="shared" si="10"/>
        <v>1</v>
      </c>
    </row>
    <row r="10" spans="1:23" x14ac:dyDescent="0.25">
      <c r="A10" s="7">
        <v>15</v>
      </c>
      <c r="B10" s="8" t="str">
        <f>VLOOKUP($A10, Equipes!$A$3:$B$44, 2, FALSE)</f>
        <v>Claudio Jr MG</v>
      </c>
      <c r="C10" s="17">
        <v>2</v>
      </c>
      <c r="D10" s="9" t="s">
        <v>23</v>
      </c>
      <c r="E10" s="17">
        <v>0</v>
      </c>
      <c r="F10" s="10" t="str">
        <f>VLOOKUP($G10, Equipes!$A$3:$B$44, 2, FALSE)</f>
        <v>Afonso SP</v>
      </c>
      <c r="G10" s="7">
        <v>19</v>
      </c>
      <c r="H10" s="8">
        <v>23</v>
      </c>
      <c r="I10" s="8" t="s">
        <v>26</v>
      </c>
      <c r="J10" s="8">
        <v>1</v>
      </c>
      <c r="M10" s="8" t="str">
        <f t="shared" si="0"/>
        <v>Claudio Jr MG</v>
      </c>
      <c r="N10" s="8" t="str">
        <f t="shared" si="1"/>
        <v>Afonso SP</v>
      </c>
      <c r="O10" s="8" t="str">
        <f t="shared" si="2"/>
        <v>Claudio Jr MG</v>
      </c>
      <c r="P10" s="8" t="str">
        <f t="shared" si="3"/>
        <v/>
      </c>
      <c r="Q10" s="8" t="str">
        <f t="shared" si="4"/>
        <v/>
      </c>
      <c r="R10" s="8" t="str">
        <f t="shared" si="5"/>
        <v>Afonso SP</v>
      </c>
      <c r="S10" s="8" t="str">
        <f t="shared" si="6"/>
        <v>Claudio Jr MG</v>
      </c>
      <c r="T10" s="8">
        <f t="shared" si="7"/>
        <v>2</v>
      </c>
      <c r="U10" s="8" t="str">
        <f t="shared" si="8"/>
        <v>Afonso SP</v>
      </c>
      <c r="V10" s="8">
        <f t="shared" si="9"/>
        <v>0</v>
      </c>
      <c r="W10" s="8">
        <f t="shared" si="10"/>
        <v>2</v>
      </c>
    </row>
    <row r="11" spans="1:23" x14ac:dyDescent="0.25">
      <c r="A11" s="7">
        <v>16</v>
      </c>
      <c r="B11" s="18" t="str">
        <f>VLOOKUP($A11, Equipes!$A$3:$B$44, 2, FALSE)</f>
        <v>Kaka RJ</v>
      </c>
      <c r="C11" s="17">
        <v>3</v>
      </c>
      <c r="D11" s="19" t="s">
        <v>23</v>
      </c>
      <c r="E11" s="17">
        <v>1</v>
      </c>
      <c r="F11" s="20" t="str">
        <f>VLOOKUP($G11, Equipes!$A$3:$B$44, 2, FALSE)</f>
        <v>Justa SP</v>
      </c>
      <c r="G11" s="21">
        <v>20</v>
      </c>
      <c r="H11" s="18">
        <v>24</v>
      </c>
      <c r="I11" s="18" t="s">
        <v>26</v>
      </c>
      <c r="J11" s="18">
        <v>1</v>
      </c>
      <c r="K11" s="18"/>
      <c r="M11" s="8" t="str">
        <f t="shared" si="0"/>
        <v>Kaka RJ</v>
      </c>
      <c r="N11" s="8" t="str">
        <f t="shared" si="1"/>
        <v>Justa SP</v>
      </c>
      <c r="O11" s="8" t="str">
        <f t="shared" si="2"/>
        <v>Kaka RJ</v>
      </c>
      <c r="P11" s="8" t="str">
        <f t="shared" si="3"/>
        <v/>
      </c>
      <c r="Q11" s="8" t="str">
        <f t="shared" si="4"/>
        <v/>
      </c>
      <c r="R11" s="8" t="str">
        <f t="shared" si="5"/>
        <v>Justa SP</v>
      </c>
      <c r="S11" s="8" t="str">
        <f t="shared" si="6"/>
        <v>Kaka RJ</v>
      </c>
      <c r="T11" s="8">
        <f t="shared" si="7"/>
        <v>3</v>
      </c>
      <c r="U11" s="8" t="str">
        <f t="shared" si="8"/>
        <v>Justa SP</v>
      </c>
      <c r="V11" s="8">
        <f t="shared" si="9"/>
        <v>1</v>
      </c>
      <c r="W11" s="8">
        <f t="shared" si="10"/>
        <v>3</v>
      </c>
    </row>
    <row r="12" spans="1:23" x14ac:dyDescent="0.25">
      <c r="A12" s="7">
        <v>17</v>
      </c>
      <c r="B12" s="8" t="str">
        <f>VLOOKUP($A12, Equipes!$A$3:$B$44, 2, FALSE)</f>
        <v>Almo PR</v>
      </c>
      <c r="C12" s="17">
        <v>1</v>
      </c>
      <c r="D12" s="9" t="s">
        <v>23</v>
      </c>
      <c r="E12" s="17">
        <v>0</v>
      </c>
      <c r="F12" s="10" t="str">
        <f>VLOOKUP($G12, Equipes!$A$3:$B$44, 2, FALSE)</f>
        <v>Luiz Coelho SP</v>
      </c>
      <c r="G12" s="7">
        <v>21</v>
      </c>
      <c r="H12" s="8">
        <v>25</v>
      </c>
      <c r="I12" s="8" t="s">
        <v>26</v>
      </c>
      <c r="J12" s="8">
        <v>1</v>
      </c>
      <c r="M12" s="8" t="str">
        <f t="shared" si="0"/>
        <v>Almo PR</v>
      </c>
      <c r="N12" s="8" t="str">
        <f t="shared" si="1"/>
        <v>Luiz Coelho SP</v>
      </c>
      <c r="O12" s="8" t="str">
        <f t="shared" si="2"/>
        <v>Almo PR</v>
      </c>
      <c r="P12" s="8" t="str">
        <f t="shared" si="3"/>
        <v/>
      </c>
      <c r="Q12" s="8" t="str">
        <f t="shared" si="4"/>
        <v/>
      </c>
      <c r="R12" s="8" t="str">
        <f t="shared" si="5"/>
        <v>Luiz Coelho SP</v>
      </c>
      <c r="S12" s="8" t="str">
        <f t="shared" si="6"/>
        <v>Almo PR</v>
      </c>
      <c r="T12" s="8">
        <f t="shared" si="7"/>
        <v>1</v>
      </c>
      <c r="U12" s="8" t="str">
        <f t="shared" si="8"/>
        <v>Luiz Coelho SP</v>
      </c>
      <c r="V12" s="8">
        <f t="shared" si="9"/>
        <v>0</v>
      </c>
      <c r="W12" s="8">
        <f t="shared" si="10"/>
        <v>1</v>
      </c>
    </row>
    <row r="13" spans="1:23" x14ac:dyDescent="0.25">
      <c r="A13" s="7">
        <v>22</v>
      </c>
      <c r="B13" s="18" t="str">
        <f>VLOOKUP($A13, Equipes!$A$3:$B$44, 2, FALSE)</f>
        <v>João Paulo MG</v>
      </c>
      <c r="C13" s="17">
        <v>1</v>
      </c>
      <c r="D13" s="19" t="s">
        <v>23</v>
      </c>
      <c r="E13" s="17">
        <v>1</v>
      </c>
      <c r="F13" s="20" t="str">
        <f>VLOOKUP($G13, Equipes!$A$3:$B$44, 2, FALSE)</f>
        <v>Israel RJ</v>
      </c>
      <c r="G13" s="21">
        <v>26</v>
      </c>
      <c r="H13" s="18">
        <v>26</v>
      </c>
      <c r="I13" s="18" t="s">
        <v>18</v>
      </c>
      <c r="J13" s="18">
        <v>1</v>
      </c>
      <c r="K13" s="18"/>
      <c r="M13" s="8" t="str">
        <f t="shared" si="0"/>
        <v>João Paulo MG</v>
      </c>
      <c r="N13" s="8" t="str">
        <f t="shared" si="1"/>
        <v>Israel RJ</v>
      </c>
      <c r="O13" s="8" t="str">
        <f t="shared" si="2"/>
        <v/>
      </c>
      <c r="P13" s="8" t="str">
        <f t="shared" si="3"/>
        <v>João Paulo MG</v>
      </c>
      <c r="Q13" s="8" t="str">
        <f t="shared" si="4"/>
        <v>Israel RJ</v>
      </c>
      <c r="R13" s="8" t="str">
        <f t="shared" si="5"/>
        <v/>
      </c>
      <c r="S13" s="8" t="str">
        <f t="shared" si="6"/>
        <v>João Paulo MG</v>
      </c>
      <c r="T13" s="8">
        <f t="shared" si="7"/>
        <v>1</v>
      </c>
      <c r="U13" s="8" t="str">
        <f t="shared" si="8"/>
        <v>Israel RJ</v>
      </c>
      <c r="V13" s="8">
        <f t="shared" si="9"/>
        <v>1</v>
      </c>
      <c r="W13" s="8">
        <f t="shared" si="10"/>
        <v>1</v>
      </c>
    </row>
    <row r="14" spans="1:23" x14ac:dyDescent="0.25">
      <c r="A14" s="7">
        <v>23</v>
      </c>
      <c r="B14" s="8" t="str">
        <f>VLOOKUP($A14, Equipes!$A$3:$B$44, 2, FALSE)</f>
        <v>Alysson RJ</v>
      </c>
      <c r="C14" s="17">
        <v>1</v>
      </c>
      <c r="D14" s="9" t="s">
        <v>23</v>
      </c>
      <c r="E14" s="17">
        <v>1</v>
      </c>
      <c r="F14" s="10" t="str">
        <f>VLOOKUP($G14, Equipes!$A$3:$B$44, 2, FALSE)</f>
        <v>Tabajara SP</v>
      </c>
      <c r="G14" s="7">
        <v>27</v>
      </c>
      <c r="H14" s="8">
        <v>27</v>
      </c>
      <c r="I14" s="8" t="s">
        <v>18</v>
      </c>
      <c r="J14" s="8">
        <v>1</v>
      </c>
      <c r="M14" s="8" t="str">
        <f t="shared" si="0"/>
        <v>Alysson RJ</v>
      </c>
      <c r="N14" s="8" t="str">
        <f t="shared" si="1"/>
        <v>Tabajara SP</v>
      </c>
      <c r="O14" s="8" t="str">
        <f t="shared" si="2"/>
        <v/>
      </c>
      <c r="P14" s="8" t="str">
        <f t="shared" si="3"/>
        <v>Alysson RJ</v>
      </c>
      <c r="Q14" s="8" t="str">
        <f t="shared" si="4"/>
        <v>Tabajara SP</v>
      </c>
      <c r="R14" s="8" t="str">
        <f t="shared" si="5"/>
        <v/>
      </c>
      <c r="S14" s="8" t="str">
        <f t="shared" si="6"/>
        <v>Alysson RJ</v>
      </c>
      <c r="T14" s="8">
        <f t="shared" si="7"/>
        <v>1</v>
      </c>
      <c r="U14" s="8" t="str">
        <f t="shared" si="8"/>
        <v>Tabajara SP</v>
      </c>
      <c r="V14" s="8">
        <f t="shared" si="9"/>
        <v>1</v>
      </c>
      <c r="W14" s="8">
        <f t="shared" si="10"/>
        <v>1</v>
      </c>
    </row>
    <row r="15" spans="1:23" x14ac:dyDescent="0.25">
      <c r="A15" s="7">
        <v>24</v>
      </c>
      <c r="B15" s="18" t="str">
        <f>VLOOKUP($A15, Equipes!$A$3:$B$44, 2, FALSE)</f>
        <v>Marcelo Baceiredo MG</v>
      </c>
      <c r="C15" s="17">
        <v>0</v>
      </c>
      <c r="D15" s="19" t="s">
        <v>23</v>
      </c>
      <c r="E15" s="17">
        <v>1</v>
      </c>
      <c r="F15" s="20" t="str">
        <f>VLOOKUP($G15, Equipes!$A$3:$B$44, 2, FALSE)</f>
        <v>Claudio Mastrangelo RS</v>
      </c>
      <c r="G15" s="21">
        <v>28</v>
      </c>
      <c r="H15" s="18">
        <v>28</v>
      </c>
      <c r="I15" s="18" t="s">
        <v>18</v>
      </c>
      <c r="J15" s="18">
        <v>1</v>
      </c>
      <c r="K15" s="18"/>
      <c r="M15" s="8" t="str">
        <f t="shared" si="0"/>
        <v>Marcelo Baceiredo MG</v>
      </c>
      <c r="N15" s="8" t="str">
        <f t="shared" si="1"/>
        <v>Claudio Mastrangelo RS</v>
      </c>
      <c r="O15" s="8" t="str">
        <f t="shared" si="2"/>
        <v>Claudio Mastrangelo RS</v>
      </c>
      <c r="P15" s="8" t="str">
        <f t="shared" si="3"/>
        <v/>
      </c>
      <c r="Q15" s="8" t="str">
        <f t="shared" si="4"/>
        <v/>
      </c>
      <c r="R15" s="8" t="str">
        <f t="shared" si="5"/>
        <v>Marcelo Baceiredo MG</v>
      </c>
      <c r="S15" s="8" t="str">
        <f t="shared" si="6"/>
        <v>Marcelo Baceiredo MG</v>
      </c>
      <c r="T15" s="8">
        <f t="shared" si="7"/>
        <v>0</v>
      </c>
      <c r="U15" s="8" t="str">
        <f t="shared" si="8"/>
        <v>Claudio Mastrangelo RS</v>
      </c>
      <c r="V15" s="8">
        <f t="shared" si="9"/>
        <v>1</v>
      </c>
      <c r="W15" s="8">
        <f t="shared" si="10"/>
        <v>0</v>
      </c>
    </row>
    <row r="16" spans="1:23" x14ac:dyDescent="0.25">
      <c r="A16" s="7">
        <v>29</v>
      </c>
      <c r="B16" s="8" t="str">
        <f>VLOOKUP($A16, Equipes!$A$3:$B$44, 2, FALSE)</f>
        <v>Alex Lage MG</v>
      </c>
      <c r="C16" s="17">
        <v>3</v>
      </c>
      <c r="D16" s="9" t="s">
        <v>23</v>
      </c>
      <c r="E16" s="17">
        <v>1</v>
      </c>
      <c r="F16" s="10" t="str">
        <f>VLOOKUP($G16, Equipes!$A$3:$B$44, 2, FALSE)</f>
        <v>Rogério MG</v>
      </c>
      <c r="G16" s="7">
        <v>33</v>
      </c>
      <c r="H16" s="8">
        <v>29</v>
      </c>
      <c r="I16" s="8" t="s">
        <v>17</v>
      </c>
      <c r="J16" s="8">
        <v>1</v>
      </c>
      <c r="M16" s="8" t="str">
        <f t="shared" si="0"/>
        <v>Alex Lage MG</v>
      </c>
      <c r="N16" s="8" t="str">
        <f t="shared" si="1"/>
        <v>Rogério MG</v>
      </c>
      <c r="O16" s="8" t="str">
        <f t="shared" si="2"/>
        <v>Alex Lage MG</v>
      </c>
      <c r="P16" s="8" t="str">
        <f t="shared" si="3"/>
        <v/>
      </c>
      <c r="Q16" s="8" t="str">
        <f t="shared" si="4"/>
        <v/>
      </c>
      <c r="R16" s="8" t="str">
        <f t="shared" si="5"/>
        <v>Rogério MG</v>
      </c>
      <c r="S16" s="8" t="str">
        <f t="shared" si="6"/>
        <v>Alex Lage MG</v>
      </c>
      <c r="T16" s="8">
        <f t="shared" si="7"/>
        <v>3</v>
      </c>
      <c r="U16" s="8" t="str">
        <f t="shared" si="8"/>
        <v>Rogério MG</v>
      </c>
      <c r="V16" s="8">
        <f t="shared" si="9"/>
        <v>1</v>
      </c>
      <c r="W16" s="8">
        <f t="shared" si="10"/>
        <v>3</v>
      </c>
    </row>
    <row r="17" spans="1:23" x14ac:dyDescent="0.25">
      <c r="A17" s="7">
        <v>30</v>
      </c>
      <c r="B17" s="18" t="str">
        <f>VLOOKUP($A17, Equipes!$A$3:$B$44, 2, FALSE)</f>
        <v>André Araújo AM</v>
      </c>
      <c r="C17" s="17">
        <v>0</v>
      </c>
      <c r="D17" s="19" t="s">
        <v>23</v>
      </c>
      <c r="E17" s="17">
        <v>2</v>
      </c>
      <c r="F17" s="20" t="str">
        <f>VLOOKUP($G17, Equipes!$A$3:$B$44, 2, FALSE)</f>
        <v>Eduardo Rocha RJ</v>
      </c>
      <c r="G17" s="21">
        <v>34</v>
      </c>
      <c r="H17" s="18">
        <v>30</v>
      </c>
      <c r="I17" s="18" t="s">
        <v>17</v>
      </c>
      <c r="J17" s="18">
        <v>1</v>
      </c>
      <c r="K17" s="18"/>
      <c r="M17" s="8" t="str">
        <f t="shared" si="0"/>
        <v>André Araújo AM</v>
      </c>
      <c r="N17" s="8" t="str">
        <f t="shared" si="1"/>
        <v>Eduardo Rocha RJ</v>
      </c>
      <c r="O17" s="8" t="str">
        <f t="shared" si="2"/>
        <v>Eduardo Rocha RJ</v>
      </c>
      <c r="P17" s="8" t="str">
        <f t="shared" si="3"/>
        <v/>
      </c>
      <c r="Q17" s="8" t="str">
        <f t="shared" si="4"/>
        <v/>
      </c>
      <c r="R17" s="8" t="str">
        <f t="shared" si="5"/>
        <v>André Araújo AM</v>
      </c>
      <c r="S17" s="8" t="str">
        <f t="shared" si="6"/>
        <v>André Araújo AM</v>
      </c>
      <c r="T17" s="8">
        <f t="shared" si="7"/>
        <v>0</v>
      </c>
      <c r="U17" s="8" t="str">
        <f t="shared" si="8"/>
        <v>Eduardo Rocha RJ</v>
      </c>
      <c r="V17" s="8">
        <f t="shared" si="9"/>
        <v>2</v>
      </c>
      <c r="W17" s="8">
        <f t="shared" si="10"/>
        <v>0</v>
      </c>
    </row>
    <row r="18" spans="1:23" x14ac:dyDescent="0.25">
      <c r="A18" s="7">
        <v>31</v>
      </c>
      <c r="B18" s="8" t="str">
        <f>VLOOKUP($A18, Equipes!$A$3:$B$44, 2, FALSE)</f>
        <v>João Carlos RJ</v>
      </c>
      <c r="C18" s="17">
        <v>3</v>
      </c>
      <c r="D18" s="9" t="s">
        <v>23</v>
      </c>
      <c r="E18" s="17">
        <v>1</v>
      </c>
      <c r="F18" s="10" t="str">
        <f>VLOOKUP($G18, Equipes!$A$3:$B$44, 2, FALSE)</f>
        <v>Curvelo RJ</v>
      </c>
      <c r="G18" s="7">
        <v>35</v>
      </c>
      <c r="H18" s="8">
        <v>31</v>
      </c>
      <c r="I18" s="8" t="s">
        <v>17</v>
      </c>
      <c r="J18" s="8">
        <v>1</v>
      </c>
      <c r="M18" s="8" t="str">
        <f t="shared" si="0"/>
        <v>João Carlos RJ</v>
      </c>
      <c r="N18" s="8" t="str">
        <f t="shared" si="1"/>
        <v>Curvelo RJ</v>
      </c>
      <c r="O18" s="8" t="str">
        <f t="shared" si="2"/>
        <v>João Carlos RJ</v>
      </c>
      <c r="P18" s="8" t="str">
        <f t="shared" si="3"/>
        <v/>
      </c>
      <c r="Q18" s="8" t="str">
        <f t="shared" si="4"/>
        <v/>
      </c>
      <c r="R18" s="8" t="str">
        <f t="shared" si="5"/>
        <v>Curvelo RJ</v>
      </c>
      <c r="S18" s="8" t="str">
        <f t="shared" si="6"/>
        <v>João Carlos RJ</v>
      </c>
      <c r="T18" s="8">
        <f t="shared" si="7"/>
        <v>3</v>
      </c>
      <c r="U18" s="8" t="str">
        <f t="shared" si="8"/>
        <v>Curvelo RJ</v>
      </c>
      <c r="V18" s="8">
        <f t="shared" si="9"/>
        <v>1</v>
      </c>
      <c r="W18" s="8">
        <f t="shared" si="10"/>
        <v>3</v>
      </c>
    </row>
    <row r="19" spans="1:23" x14ac:dyDescent="0.25">
      <c r="A19" s="7">
        <v>36</v>
      </c>
      <c r="B19" s="18" t="str">
        <f>VLOOKUP($A19, Equipes!$A$3:$B$44, 2, FALSE)</f>
        <v>Willow SP</v>
      </c>
      <c r="C19" s="17">
        <v>2</v>
      </c>
      <c r="D19" s="19" t="s">
        <v>23</v>
      </c>
      <c r="E19" s="17">
        <v>0</v>
      </c>
      <c r="F19" s="20" t="str">
        <f>VLOOKUP($G19, Equipes!$A$3:$B$44, 2, FALSE)</f>
        <v>Marcelo Aranha SP</v>
      </c>
      <c r="G19" s="21">
        <v>40</v>
      </c>
      <c r="H19" s="18">
        <v>32</v>
      </c>
      <c r="I19" s="18" t="s">
        <v>27</v>
      </c>
      <c r="J19" s="18">
        <v>1</v>
      </c>
      <c r="K19" s="18"/>
      <c r="M19" s="8" t="str">
        <f t="shared" si="0"/>
        <v>Willow SP</v>
      </c>
      <c r="N19" s="8" t="str">
        <f t="shared" si="1"/>
        <v>Marcelo Aranha SP</v>
      </c>
      <c r="O19" s="8" t="str">
        <f t="shared" si="2"/>
        <v>Willow SP</v>
      </c>
      <c r="P19" s="8" t="str">
        <f t="shared" si="3"/>
        <v/>
      </c>
      <c r="Q19" s="8" t="str">
        <f t="shared" si="4"/>
        <v/>
      </c>
      <c r="R19" s="8" t="str">
        <f t="shared" si="5"/>
        <v>Marcelo Aranha SP</v>
      </c>
      <c r="S19" s="8" t="str">
        <f t="shared" si="6"/>
        <v>Willow SP</v>
      </c>
      <c r="T19" s="8">
        <f t="shared" si="7"/>
        <v>2</v>
      </c>
      <c r="U19" s="8" t="str">
        <f t="shared" si="8"/>
        <v>Marcelo Aranha SP</v>
      </c>
      <c r="V19" s="8">
        <f t="shared" si="9"/>
        <v>0</v>
      </c>
      <c r="W19" s="8">
        <f t="shared" si="10"/>
        <v>2</v>
      </c>
    </row>
    <row r="20" spans="1:23" x14ac:dyDescent="0.25">
      <c r="B20" s="12" t="s">
        <v>28</v>
      </c>
      <c r="C20" s="13"/>
      <c r="D20" s="13"/>
      <c r="E20" s="13"/>
      <c r="F20" s="14"/>
      <c r="G20" s="15"/>
      <c r="H20" s="12" t="s">
        <v>12</v>
      </c>
      <c r="I20" s="12" t="s">
        <v>13</v>
      </c>
      <c r="J20" s="12" t="s">
        <v>14</v>
      </c>
      <c r="K20" s="16">
        <f>K3 + TIME(0,20,0)</f>
        <v>44850.430555555555</v>
      </c>
      <c r="M20" s="11" t="s">
        <v>15</v>
      </c>
      <c r="N20" s="11" t="s">
        <v>15</v>
      </c>
      <c r="O20" s="11" t="s">
        <v>16</v>
      </c>
      <c r="P20" s="11" t="s">
        <v>17</v>
      </c>
      <c r="Q20" s="11" t="s">
        <v>17</v>
      </c>
      <c r="R20" s="11" t="s">
        <v>18</v>
      </c>
      <c r="S20" s="11" t="s">
        <v>19</v>
      </c>
      <c r="T20" s="11" t="s">
        <v>20</v>
      </c>
      <c r="U20" s="11" t="s">
        <v>16</v>
      </c>
      <c r="V20" s="11" t="s">
        <v>21</v>
      </c>
      <c r="W20" s="11" t="s">
        <v>22</v>
      </c>
    </row>
    <row r="21" spans="1:23" x14ac:dyDescent="0.25">
      <c r="A21" s="7">
        <v>37</v>
      </c>
      <c r="B21" s="18" t="str">
        <f>VLOOKUP($A21, Equipes!$A$3:$B$44, 2, FALSE)</f>
        <v>Elsio SP</v>
      </c>
      <c r="C21" s="17">
        <v>1</v>
      </c>
      <c r="D21" s="19" t="s">
        <v>23</v>
      </c>
      <c r="E21" s="17">
        <v>3</v>
      </c>
      <c r="F21" s="20" t="str">
        <f>VLOOKUP($G21, Equipes!$A$3:$B$44, 2, FALSE)</f>
        <v>Tavares RJ</v>
      </c>
      <c r="G21" s="21">
        <v>41</v>
      </c>
      <c r="H21" s="18">
        <v>17</v>
      </c>
      <c r="I21" s="18" t="s">
        <v>27</v>
      </c>
      <c r="J21" s="18">
        <v>1</v>
      </c>
      <c r="K21" s="18"/>
      <c r="M21" s="8" t="str">
        <f t="shared" ref="M21:M36" si="11">IF(OR(C21 = "",E21 = ""), "", B21)</f>
        <v>Elsio SP</v>
      </c>
      <c r="N21" s="8" t="str">
        <f t="shared" ref="N21:N36" si="12">IF(OR(C21 = "",E21 = ""), "", F21)</f>
        <v>Tavares RJ</v>
      </c>
      <c r="O21" s="8" t="str">
        <f t="shared" ref="O21:O36" si="13">IF(C21&gt;E21,B21, IF(E21&gt;C21,F21, ""))</f>
        <v>Tavares RJ</v>
      </c>
      <c r="P21" s="8" t="str">
        <f t="shared" ref="P21:P36" si="14">IF(OR(C21 = "",E21 = ""), "", IF(C21=E21,B21, ""))</f>
        <v/>
      </c>
      <c r="Q21" s="8" t="str">
        <f t="shared" ref="Q21:Q36" si="15">IF(OR(C21 = "",E21 = ""), "", IF(C21=E21,F21, ""))</f>
        <v/>
      </c>
      <c r="R21" s="8" t="str">
        <f t="shared" ref="R21:R36" si="16">IF(C21&gt;E21,F21, IF(E21&gt;C21,B21, ""))</f>
        <v>Elsio SP</v>
      </c>
      <c r="S21" s="8" t="str">
        <f t="shared" ref="S21:S36" si="17">IF(OR(C21 = "",E21 = ""), "", B21)</f>
        <v>Elsio SP</v>
      </c>
      <c r="T21" s="8">
        <f t="shared" ref="T21:T36" si="18">IF(C21 = "", "", C21)</f>
        <v>1</v>
      </c>
      <c r="U21" s="8" t="str">
        <f t="shared" ref="U21:U36" si="19">IF(OR(C21 = "",E21 = ""), "", F21)</f>
        <v>Tavares RJ</v>
      </c>
      <c r="V21" s="8">
        <f t="shared" ref="V21:V36" si="20">IF(E21 = "", "", E21)</f>
        <v>3</v>
      </c>
      <c r="W21" s="8">
        <f t="shared" ref="W21:W36" si="21">IF(C21 = "", "", C21)</f>
        <v>1</v>
      </c>
    </row>
    <row r="22" spans="1:23" x14ac:dyDescent="0.25">
      <c r="A22" s="7">
        <v>38</v>
      </c>
      <c r="B22" s="8" t="str">
        <f>VLOOKUP($A22, Equipes!$A$3:$B$44, 2, FALSE)</f>
        <v>João Marcelo MG</v>
      </c>
      <c r="C22" s="17">
        <v>3</v>
      </c>
      <c r="D22" s="9" t="s">
        <v>23</v>
      </c>
      <c r="E22" s="17">
        <v>2</v>
      </c>
      <c r="F22" s="10" t="str">
        <f>VLOOKUP($G22, Equipes!$A$3:$B$44, 2, FALSE)</f>
        <v>Bergamini SP</v>
      </c>
      <c r="G22" s="7">
        <v>42</v>
      </c>
      <c r="H22" s="8">
        <v>18</v>
      </c>
      <c r="I22" s="8" t="s">
        <v>27</v>
      </c>
      <c r="J22" s="8">
        <v>1</v>
      </c>
      <c r="M22" s="8" t="str">
        <f t="shared" si="11"/>
        <v>João Marcelo MG</v>
      </c>
      <c r="N22" s="8" t="str">
        <f t="shared" si="12"/>
        <v>Bergamini SP</v>
      </c>
      <c r="O22" s="8" t="str">
        <f t="shared" si="13"/>
        <v>João Marcelo MG</v>
      </c>
      <c r="P22" s="8" t="str">
        <f t="shared" si="14"/>
        <v/>
      </c>
      <c r="Q22" s="8" t="str">
        <f t="shared" si="15"/>
        <v/>
      </c>
      <c r="R22" s="8" t="str">
        <f t="shared" si="16"/>
        <v>Bergamini SP</v>
      </c>
      <c r="S22" s="8" t="str">
        <f t="shared" si="17"/>
        <v>João Marcelo MG</v>
      </c>
      <c r="T22" s="8">
        <f t="shared" si="18"/>
        <v>3</v>
      </c>
      <c r="U22" s="8" t="str">
        <f t="shared" si="19"/>
        <v>Bergamini SP</v>
      </c>
      <c r="V22" s="8">
        <f t="shared" si="20"/>
        <v>2</v>
      </c>
      <c r="W22" s="8">
        <f t="shared" si="21"/>
        <v>3</v>
      </c>
    </row>
    <row r="23" spans="1:23" x14ac:dyDescent="0.25">
      <c r="A23" s="7">
        <v>1</v>
      </c>
      <c r="B23" s="18" t="str">
        <f>VLOOKUP($A23, Equipes!$A$3:$B$44, 2, FALSE)</f>
        <v>Gabriel RJ</v>
      </c>
      <c r="C23" s="17">
        <v>3</v>
      </c>
      <c r="D23" s="19" t="s">
        <v>23</v>
      </c>
      <c r="E23" s="17">
        <v>1</v>
      </c>
      <c r="F23" s="20" t="str">
        <f>VLOOKUP($G23, Equipes!$A$3:$B$44, 2, FALSE)</f>
        <v>Rogelson PR</v>
      </c>
      <c r="G23" s="21">
        <v>6</v>
      </c>
      <c r="H23" s="18">
        <v>19</v>
      </c>
      <c r="I23" s="18" t="s">
        <v>24</v>
      </c>
      <c r="J23" s="18">
        <v>2</v>
      </c>
      <c r="K23" s="18"/>
      <c r="M23" s="8" t="str">
        <f t="shared" si="11"/>
        <v>Gabriel RJ</v>
      </c>
      <c r="N23" s="8" t="str">
        <f t="shared" si="12"/>
        <v>Rogelson PR</v>
      </c>
      <c r="O23" s="8" t="str">
        <f t="shared" si="13"/>
        <v>Gabriel RJ</v>
      </c>
      <c r="P23" s="8" t="str">
        <f t="shared" si="14"/>
        <v/>
      </c>
      <c r="Q23" s="8" t="str">
        <f t="shared" si="15"/>
        <v/>
      </c>
      <c r="R23" s="8" t="str">
        <f t="shared" si="16"/>
        <v>Rogelson PR</v>
      </c>
      <c r="S23" s="8" t="str">
        <f t="shared" si="17"/>
        <v>Gabriel RJ</v>
      </c>
      <c r="T23" s="8">
        <f t="shared" si="18"/>
        <v>3</v>
      </c>
      <c r="U23" s="8" t="str">
        <f t="shared" si="19"/>
        <v>Rogelson PR</v>
      </c>
      <c r="V23" s="8">
        <f t="shared" si="20"/>
        <v>1</v>
      </c>
      <c r="W23" s="8">
        <f t="shared" si="21"/>
        <v>3</v>
      </c>
    </row>
    <row r="24" spans="1:23" x14ac:dyDescent="0.25">
      <c r="A24" s="7">
        <v>5</v>
      </c>
      <c r="B24" s="8" t="str">
        <f>VLOOKUP($A24, Equipes!$A$3:$B$44, 2, FALSE)</f>
        <v>Thiago Matoso RJ</v>
      </c>
      <c r="C24" s="17">
        <v>2</v>
      </c>
      <c r="D24" s="9" t="s">
        <v>23</v>
      </c>
      <c r="E24" s="17">
        <v>1</v>
      </c>
      <c r="F24" s="10" t="str">
        <f>VLOOKUP($G24, Equipes!$A$3:$B$44, 2, FALSE)</f>
        <v>Gabriel Lisboa PA</v>
      </c>
      <c r="G24" s="7">
        <v>7</v>
      </c>
      <c r="H24" s="8">
        <v>20</v>
      </c>
      <c r="I24" s="8" t="s">
        <v>24</v>
      </c>
      <c r="J24" s="8">
        <v>2</v>
      </c>
      <c r="M24" s="8" t="str">
        <f t="shared" si="11"/>
        <v>Thiago Matoso RJ</v>
      </c>
      <c r="N24" s="8" t="str">
        <f t="shared" si="12"/>
        <v>Gabriel Lisboa PA</v>
      </c>
      <c r="O24" s="8" t="str">
        <f t="shared" si="13"/>
        <v>Thiago Matoso RJ</v>
      </c>
      <c r="P24" s="8" t="str">
        <f t="shared" si="14"/>
        <v/>
      </c>
      <c r="Q24" s="8" t="str">
        <f t="shared" si="15"/>
        <v/>
      </c>
      <c r="R24" s="8" t="str">
        <f t="shared" si="16"/>
        <v>Gabriel Lisboa PA</v>
      </c>
      <c r="S24" s="8" t="str">
        <f t="shared" si="17"/>
        <v>Thiago Matoso RJ</v>
      </c>
      <c r="T24" s="8">
        <f t="shared" si="18"/>
        <v>2</v>
      </c>
      <c r="U24" s="8" t="str">
        <f t="shared" si="19"/>
        <v>Gabriel Lisboa PA</v>
      </c>
      <c r="V24" s="8">
        <f t="shared" si="20"/>
        <v>1</v>
      </c>
      <c r="W24" s="8">
        <f t="shared" si="21"/>
        <v>2</v>
      </c>
    </row>
    <row r="25" spans="1:23" x14ac:dyDescent="0.25">
      <c r="A25" s="7">
        <v>3</v>
      </c>
      <c r="B25" s="18" t="str">
        <f>VLOOKUP($A25, Equipes!$A$3:$B$44, 2, FALSE)</f>
        <v>Dudu RJ</v>
      </c>
      <c r="C25" s="17">
        <v>3</v>
      </c>
      <c r="D25" s="19" t="s">
        <v>23</v>
      </c>
      <c r="E25" s="17">
        <v>1</v>
      </c>
      <c r="F25" s="20" t="str">
        <f>VLOOKUP($G25, Equipes!$A$3:$B$44, 2, FALSE)</f>
        <v>Pablo Martins RJ</v>
      </c>
      <c r="G25" s="21">
        <v>4</v>
      </c>
      <c r="H25" s="18">
        <v>21</v>
      </c>
      <c r="I25" s="18" t="s">
        <v>24</v>
      </c>
      <c r="J25" s="18">
        <v>2</v>
      </c>
      <c r="K25" s="18"/>
      <c r="M25" s="8" t="str">
        <f t="shared" si="11"/>
        <v>Dudu RJ</v>
      </c>
      <c r="N25" s="8" t="str">
        <f t="shared" si="12"/>
        <v>Pablo Martins RJ</v>
      </c>
      <c r="O25" s="8" t="str">
        <f t="shared" si="13"/>
        <v>Dudu RJ</v>
      </c>
      <c r="P25" s="8" t="str">
        <f t="shared" si="14"/>
        <v/>
      </c>
      <c r="Q25" s="8" t="str">
        <f t="shared" si="15"/>
        <v/>
      </c>
      <c r="R25" s="8" t="str">
        <f t="shared" si="16"/>
        <v>Pablo Martins RJ</v>
      </c>
      <c r="S25" s="8" t="str">
        <f t="shared" si="17"/>
        <v>Dudu RJ</v>
      </c>
      <c r="T25" s="8">
        <f t="shared" si="18"/>
        <v>3</v>
      </c>
      <c r="U25" s="8" t="str">
        <f t="shared" si="19"/>
        <v>Pablo Martins RJ</v>
      </c>
      <c r="V25" s="8">
        <f t="shared" si="20"/>
        <v>1</v>
      </c>
      <c r="W25" s="8">
        <f t="shared" si="21"/>
        <v>3</v>
      </c>
    </row>
    <row r="26" spans="1:23" x14ac:dyDescent="0.25">
      <c r="A26" s="7">
        <v>8</v>
      </c>
      <c r="B26" s="8" t="str">
        <f>VLOOKUP($A26, Equipes!$A$3:$B$44, 2, FALSE)</f>
        <v>Marcelinho RJ</v>
      </c>
      <c r="C26" s="17">
        <v>3</v>
      </c>
      <c r="D26" s="9" t="s">
        <v>23</v>
      </c>
      <c r="E26" s="17">
        <v>1</v>
      </c>
      <c r="F26" s="10" t="str">
        <f>VLOOKUP($G26, Equipes!$A$3:$B$44, 2, FALSE)</f>
        <v>Eduardo Massa MG</v>
      </c>
      <c r="G26" s="7">
        <v>13</v>
      </c>
      <c r="H26" s="8">
        <v>22</v>
      </c>
      <c r="I26" s="8" t="s">
        <v>25</v>
      </c>
      <c r="J26" s="8">
        <v>2</v>
      </c>
      <c r="M26" s="8" t="str">
        <f t="shared" si="11"/>
        <v>Marcelinho RJ</v>
      </c>
      <c r="N26" s="8" t="str">
        <f t="shared" si="12"/>
        <v>Eduardo Massa MG</v>
      </c>
      <c r="O26" s="8" t="str">
        <f t="shared" si="13"/>
        <v>Marcelinho RJ</v>
      </c>
      <c r="P26" s="8" t="str">
        <f t="shared" si="14"/>
        <v/>
      </c>
      <c r="Q26" s="8" t="str">
        <f t="shared" si="15"/>
        <v/>
      </c>
      <c r="R26" s="8" t="str">
        <f t="shared" si="16"/>
        <v>Eduardo Massa MG</v>
      </c>
      <c r="S26" s="8" t="str">
        <f t="shared" si="17"/>
        <v>Marcelinho RJ</v>
      </c>
      <c r="T26" s="8">
        <f t="shared" si="18"/>
        <v>3</v>
      </c>
      <c r="U26" s="8" t="str">
        <f t="shared" si="19"/>
        <v>Eduardo Massa MG</v>
      </c>
      <c r="V26" s="8">
        <f t="shared" si="20"/>
        <v>1</v>
      </c>
      <c r="W26" s="8">
        <f t="shared" si="21"/>
        <v>3</v>
      </c>
    </row>
    <row r="27" spans="1:23" x14ac:dyDescent="0.25">
      <c r="A27" s="7">
        <v>12</v>
      </c>
      <c r="B27" s="18" t="str">
        <f>VLOOKUP($A27, Equipes!$A$3:$B$44, 2, FALSE)</f>
        <v>Lian MG</v>
      </c>
      <c r="C27" s="17">
        <v>3</v>
      </c>
      <c r="D27" s="19" t="s">
        <v>23</v>
      </c>
      <c r="E27" s="17">
        <v>1</v>
      </c>
      <c r="F27" s="20" t="str">
        <f>VLOOKUP($G27, Equipes!$A$3:$B$44, 2, FALSE)</f>
        <v>Ronaldo Eifler RS</v>
      </c>
      <c r="G27" s="21">
        <v>14</v>
      </c>
      <c r="H27" s="18">
        <v>23</v>
      </c>
      <c r="I27" s="18" t="s">
        <v>25</v>
      </c>
      <c r="J27" s="18">
        <v>2</v>
      </c>
      <c r="K27" s="18"/>
      <c r="M27" s="8" t="str">
        <f t="shared" si="11"/>
        <v>Lian MG</v>
      </c>
      <c r="N27" s="8" t="str">
        <f t="shared" si="12"/>
        <v>Ronaldo Eifler RS</v>
      </c>
      <c r="O27" s="8" t="str">
        <f t="shared" si="13"/>
        <v>Lian MG</v>
      </c>
      <c r="P27" s="8" t="str">
        <f t="shared" si="14"/>
        <v/>
      </c>
      <c r="Q27" s="8" t="str">
        <f t="shared" si="15"/>
        <v/>
      </c>
      <c r="R27" s="8" t="str">
        <f t="shared" si="16"/>
        <v>Ronaldo Eifler RS</v>
      </c>
      <c r="S27" s="8" t="str">
        <f t="shared" si="17"/>
        <v>Lian MG</v>
      </c>
      <c r="T27" s="8">
        <f t="shared" si="18"/>
        <v>3</v>
      </c>
      <c r="U27" s="8" t="str">
        <f t="shared" si="19"/>
        <v>Ronaldo Eifler RS</v>
      </c>
      <c r="V27" s="8">
        <f t="shared" si="20"/>
        <v>1</v>
      </c>
      <c r="W27" s="8">
        <f t="shared" si="21"/>
        <v>3</v>
      </c>
    </row>
    <row r="28" spans="1:23" x14ac:dyDescent="0.25">
      <c r="A28" s="7">
        <v>10</v>
      </c>
      <c r="B28" s="8" t="str">
        <f>VLOOKUP($A28, Equipes!$A$3:$B$44, 2, FALSE)</f>
        <v>Roberto Giolo MS</v>
      </c>
      <c r="C28" s="17">
        <v>3</v>
      </c>
      <c r="D28" s="9" t="s">
        <v>23</v>
      </c>
      <c r="E28" s="17">
        <v>1</v>
      </c>
      <c r="F28" s="10" t="str">
        <f>VLOOKUP($G28, Equipes!$A$3:$B$44, 2, FALSE)</f>
        <v>Diogo SP</v>
      </c>
      <c r="G28" s="7">
        <v>11</v>
      </c>
      <c r="H28" s="8">
        <v>24</v>
      </c>
      <c r="I28" s="8" t="s">
        <v>25</v>
      </c>
      <c r="J28" s="8">
        <v>2</v>
      </c>
      <c r="M28" s="8" t="str">
        <f t="shared" si="11"/>
        <v>Roberto Giolo MS</v>
      </c>
      <c r="N28" s="8" t="str">
        <f t="shared" si="12"/>
        <v>Diogo SP</v>
      </c>
      <c r="O28" s="8" t="str">
        <f t="shared" si="13"/>
        <v>Roberto Giolo MS</v>
      </c>
      <c r="P28" s="8" t="str">
        <f t="shared" si="14"/>
        <v/>
      </c>
      <c r="Q28" s="8" t="str">
        <f t="shared" si="15"/>
        <v/>
      </c>
      <c r="R28" s="8" t="str">
        <f t="shared" si="16"/>
        <v>Diogo SP</v>
      </c>
      <c r="S28" s="8" t="str">
        <f t="shared" si="17"/>
        <v>Roberto Giolo MS</v>
      </c>
      <c r="T28" s="8">
        <f t="shared" si="18"/>
        <v>3</v>
      </c>
      <c r="U28" s="8" t="str">
        <f t="shared" si="19"/>
        <v>Diogo SP</v>
      </c>
      <c r="V28" s="8">
        <f t="shared" si="20"/>
        <v>1</v>
      </c>
      <c r="W28" s="8">
        <f t="shared" si="21"/>
        <v>3</v>
      </c>
    </row>
    <row r="29" spans="1:23" x14ac:dyDescent="0.25">
      <c r="A29" s="7">
        <v>15</v>
      </c>
      <c r="B29" s="18" t="str">
        <f>VLOOKUP($A29, Equipes!$A$3:$B$44, 2, FALSE)</f>
        <v>Claudio Jr MG</v>
      </c>
      <c r="C29" s="17">
        <v>2</v>
      </c>
      <c r="D29" s="19" t="s">
        <v>23</v>
      </c>
      <c r="E29" s="17">
        <v>1</v>
      </c>
      <c r="F29" s="20" t="str">
        <f>VLOOKUP($G29, Equipes!$A$3:$B$44, 2, FALSE)</f>
        <v>Justa SP</v>
      </c>
      <c r="G29" s="21">
        <v>20</v>
      </c>
      <c r="H29" s="18">
        <v>25</v>
      </c>
      <c r="I29" s="18" t="s">
        <v>26</v>
      </c>
      <c r="J29" s="18">
        <v>2</v>
      </c>
      <c r="K29" s="18"/>
      <c r="M29" s="8" t="str">
        <f t="shared" si="11"/>
        <v>Claudio Jr MG</v>
      </c>
      <c r="N29" s="8" t="str">
        <f t="shared" si="12"/>
        <v>Justa SP</v>
      </c>
      <c r="O29" s="8" t="str">
        <f t="shared" si="13"/>
        <v>Claudio Jr MG</v>
      </c>
      <c r="P29" s="8" t="str">
        <f t="shared" si="14"/>
        <v/>
      </c>
      <c r="Q29" s="8" t="str">
        <f t="shared" si="15"/>
        <v/>
      </c>
      <c r="R29" s="8" t="str">
        <f t="shared" si="16"/>
        <v>Justa SP</v>
      </c>
      <c r="S29" s="8" t="str">
        <f t="shared" si="17"/>
        <v>Claudio Jr MG</v>
      </c>
      <c r="T29" s="8">
        <f t="shared" si="18"/>
        <v>2</v>
      </c>
      <c r="U29" s="8" t="str">
        <f t="shared" si="19"/>
        <v>Justa SP</v>
      </c>
      <c r="V29" s="8">
        <f t="shared" si="20"/>
        <v>1</v>
      </c>
      <c r="W29" s="8">
        <f t="shared" si="21"/>
        <v>2</v>
      </c>
    </row>
    <row r="30" spans="1:23" x14ac:dyDescent="0.25">
      <c r="A30" s="7">
        <v>19</v>
      </c>
      <c r="B30" s="8" t="str">
        <f>VLOOKUP($A30, Equipes!$A$3:$B$44, 2, FALSE)</f>
        <v>Afonso SP</v>
      </c>
      <c r="C30" s="17">
        <v>3</v>
      </c>
      <c r="D30" s="9" t="s">
        <v>23</v>
      </c>
      <c r="E30" s="17">
        <v>0</v>
      </c>
      <c r="F30" s="10" t="str">
        <f>VLOOKUP($G30, Equipes!$A$3:$B$44, 2, FALSE)</f>
        <v>Luiz Coelho SP</v>
      </c>
      <c r="G30" s="7">
        <v>21</v>
      </c>
      <c r="H30" s="8">
        <v>26</v>
      </c>
      <c r="I30" s="8" t="s">
        <v>26</v>
      </c>
      <c r="J30" s="8">
        <v>2</v>
      </c>
      <c r="M30" s="8" t="str">
        <f t="shared" si="11"/>
        <v>Afonso SP</v>
      </c>
      <c r="N30" s="8" t="str">
        <f t="shared" si="12"/>
        <v>Luiz Coelho SP</v>
      </c>
      <c r="O30" s="8" t="str">
        <f t="shared" si="13"/>
        <v>Afonso SP</v>
      </c>
      <c r="P30" s="8" t="str">
        <f t="shared" si="14"/>
        <v/>
      </c>
      <c r="Q30" s="8" t="str">
        <f t="shared" si="15"/>
        <v/>
      </c>
      <c r="R30" s="8" t="str">
        <f t="shared" si="16"/>
        <v>Luiz Coelho SP</v>
      </c>
      <c r="S30" s="8" t="str">
        <f t="shared" si="17"/>
        <v>Afonso SP</v>
      </c>
      <c r="T30" s="8">
        <f t="shared" si="18"/>
        <v>3</v>
      </c>
      <c r="U30" s="8" t="str">
        <f t="shared" si="19"/>
        <v>Luiz Coelho SP</v>
      </c>
      <c r="V30" s="8">
        <f t="shared" si="20"/>
        <v>0</v>
      </c>
      <c r="W30" s="8">
        <f t="shared" si="21"/>
        <v>3</v>
      </c>
    </row>
    <row r="31" spans="1:23" x14ac:dyDescent="0.25">
      <c r="A31" s="7">
        <v>17</v>
      </c>
      <c r="B31" s="18" t="str">
        <f>VLOOKUP($A31, Equipes!$A$3:$B$44, 2, FALSE)</f>
        <v>Almo PR</v>
      </c>
      <c r="C31" s="17">
        <v>2</v>
      </c>
      <c r="D31" s="19" t="s">
        <v>23</v>
      </c>
      <c r="E31" s="17">
        <v>0</v>
      </c>
      <c r="F31" s="20" t="str">
        <f>VLOOKUP($G31, Equipes!$A$3:$B$44, 2, FALSE)</f>
        <v>Cléo Jr SP</v>
      </c>
      <c r="G31" s="21">
        <v>18</v>
      </c>
      <c r="H31" s="18">
        <v>27</v>
      </c>
      <c r="I31" s="18" t="s">
        <v>26</v>
      </c>
      <c r="J31" s="18">
        <v>2</v>
      </c>
      <c r="K31" s="18"/>
      <c r="M31" s="8" t="str">
        <f t="shared" si="11"/>
        <v>Almo PR</v>
      </c>
      <c r="N31" s="8" t="str">
        <f t="shared" si="12"/>
        <v>Cléo Jr SP</v>
      </c>
      <c r="O31" s="8" t="str">
        <f t="shared" si="13"/>
        <v>Almo PR</v>
      </c>
      <c r="P31" s="8" t="str">
        <f t="shared" si="14"/>
        <v/>
      </c>
      <c r="Q31" s="8" t="str">
        <f t="shared" si="15"/>
        <v/>
      </c>
      <c r="R31" s="8" t="str">
        <f t="shared" si="16"/>
        <v>Cléo Jr SP</v>
      </c>
      <c r="S31" s="8" t="str">
        <f t="shared" si="17"/>
        <v>Almo PR</v>
      </c>
      <c r="T31" s="8">
        <f t="shared" si="18"/>
        <v>2</v>
      </c>
      <c r="U31" s="8" t="str">
        <f t="shared" si="19"/>
        <v>Cléo Jr SP</v>
      </c>
      <c r="V31" s="8">
        <f t="shared" si="20"/>
        <v>0</v>
      </c>
      <c r="W31" s="8">
        <f t="shared" si="21"/>
        <v>2</v>
      </c>
    </row>
    <row r="32" spans="1:23" x14ac:dyDescent="0.25">
      <c r="A32" s="7">
        <v>22</v>
      </c>
      <c r="B32" s="8" t="str">
        <f>VLOOKUP($A32, Equipes!$A$3:$B$44, 2, FALSE)</f>
        <v>João Paulo MG</v>
      </c>
      <c r="C32" s="17">
        <v>1</v>
      </c>
      <c r="D32" s="9" t="s">
        <v>23</v>
      </c>
      <c r="E32" s="17">
        <v>1</v>
      </c>
      <c r="F32" s="10" t="str">
        <f>VLOOKUP($G32, Equipes!$A$3:$B$44, 2, FALSE)</f>
        <v>Tabajara SP</v>
      </c>
      <c r="G32" s="7">
        <v>27</v>
      </c>
      <c r="H32" s="8">
        <v>28</v>
      </c>
      <c r="I32" s="8" t="s">
        <v>18</v>
      </c>
      <c r="J32" s="8">
        <v>2</v>
      </c>
      <c r="M32" s="8" t="str">
        <f t="shared" si="11"/>
        <v>João Paulo MG</v>
      </c>
      <c r="N32" s="8" t="str">
        <f t="shared" si="12"/>
        <v>Tabajara SP</v>
      </c>
      <c r="O32" s="8" t="str">
        <f t="shared" si="13"/>
        <v/>
      </c>
      <c r="P32" s="8" t="str">
        <f t="shared" si="14"/>
        <v>João Paulo MG</v>
      </c>
      <c r="Q32" s="8" t="str">
        <f t="shared" si="15"/>
        <v>Tabajara SP</v>
      </c>
      <c r="R32" s="8" t="str">
        <f t="shared" si="16"/>
        <v/>
      </c>
      <c r="S32" s="8" t="str">
        <f t="shared" si="17"/>
        <v>João Paulo MG</v>
      </c>
      <c r="T32" s="8">
        <f t="shared" si="18"/>
        <v>1</v>
      </c>
      <c r="U32" s="8" t="str">
        <f t="shared" si="19"/>
        <v>Tabajara SP</v>
      </c>
      <c r="V32" s="8">
        <f t="shared" si="20"/>
        <v>1</v>
      </c>
      <c r="W32" s="8">
        <f t="shared" si="21"/>
        <v>1</v>
      </c>
    </row>
    <row r="33" spans="1:23" x14ac:dyDescent="0.25">
      <c r="A33" s="7">
        <v>26</v>
      </c>
      <c r="B33" s="18" t="str">
        <f>VLOOKUP($A33, Equipes!$A$3:$B$44, 2, FALSE)</f>
        <v>Israel RJ</v>
      </c>
      <c r="C33" s="17">
        <v>3</v>
      </c>
      <c r="D33" s="19" t="s">
        <v>23</v>
      </c>
      <c r="E33" s="17">
        <v>1</v>
      </c>
      <c r="F33" s="20" t="str">
        <f>VLOOKUP($G33, Equipes!$A$3:$B$44, 2, FALSE)</f>
        <v>Claudio Mastrangelo RS</v>
      </c>
      <c r="G33" s="21">
        <v>28</v>
      </c>
      <c r="H33" s="18">
        <v>29</v>
      </c>
      <c r="I33" s="18" t="s">
        <v>18</v>
      </c>
      <c r="J33" s="18">
        <v>2</v>
      </c>
      <c r="K33" s="18"/>
      <c r="M33" s="8" t="str">
        <f t="shared" si="11"/>
        <v>Israel RJ</v>
      </c>
      <c r="N33" s="8" t="str">
        <f t="shared" si="12"/>
        <v>Claudio Mastrangelo RS</v>
      </c>
      <c r="O33" s="8" t="str">
        <f t="shared" si="13"/>
        <v>Israel RJ</v>
      </c>
      <c r="P33" s="8" t="str">
        <f t="shared" si="14"/>
        <v/>
      </c>
      <c r="Q33" s="8" t="str">
        <f t="shared" si="15"/>
        <v/>
      </c>
      <c r="R33" s="8" t="str">
        <f t="shared" si="16"/>
        <v>Claudio Mastrangelo RS</v>
      </c>
      <c r="S33" s="8" t="str">
        <f t="shared" si="17"/>
        <v>Israel RJ</v>
      </c>
      <c r="T33" s="8">
        <f t="shared" si="18"/>
        <v>3</v>
      </c>
      <c r="U33" s="8" t="str">
        <f t="shared" si="19"/>
        <v>Claudio Mastrangelo RS</v>
      </c>
      <c r="V33" s="8">
        <f t="shared" si="20"/>
        <v>1</v>
      </c>
      <c r="W33" s="8">
        <f t="shared" si="21"/>
        <v>3</v>
      </c>
    </row>
    <row r="34" spans="1:23" x14ac:dyDescent="0.25">
      <c r="A34" s="7">
        <v>24</v>
      </c>
      <c r="B34" s="8" t="str">
        <f>VLOOKUP($A34, Equipes!$A$3:$B$44, 2, FALSE)</f>
        <v>Marcelo Baceiredo MG</v>
      </c>
      <c r="C34" s="17">
        <v>0</v>
      </c>
      <c r="D34" s="9" t="s">
        <v>23</v>
      </c>
      <c r="E34" s="17">
        <v>3</v>
      </c>
      <c r="F34" s="10" t="str">
        <f>VLOOKUP($G34, Equipes!$A$3:$B$44, 2, FALSE)</f>
        <v>Renato Souza MG</v>
      </c>
      <c r="G34" s="7">
        <v>25</v>
      </c>
      <c r="H34" s="8">
        <v>30</v>
      </c>
      <c r="I34" s="8" t="s">
        <v>18</v>
      </c>
      <c r="J34" s="8">
        <v>2</v>
      </c>
      <c r="M34" s="8" t="str">
        <f t="shared" si="11"/>
        <v>Marcelo Baceiredo MG</v>
      </c>
      <c r="N34" s="8" t="str">
        <f t="shared" si="12"/>
        <v>Renato Souza MG</v>
      </c>
      <c r="O34" s="8" t="str">
        <f t="shared" si="13"/>
        <v>Renato Souza MG</v>
      </c>
      <c r="P34" s="8" t="str">
        <f t="shared" si="14"/>
        <v/>
      </c>
      <c r="Q34" s="8" t="str">
        <f t="shared" si="15"/>
        <v/>
      </c>
      <c r="R34" s="8" t="str">
        <f t="shared" si="16"/>
        <v>Marcelo Baceiredo MG</v>
      </c>
      <c r="S34" s="8" t="str">
        <f t="shared" si="17"/>
        <v>Marcelo Baceiredo MG</v>
      </c>
      <c r="T34" s="8">
        <f t="shared" si="18"/>
        <v>0</v>
      </c>
      <c r="U34" s="8" t="str">
        <f t="shared" si="19"/>
        <v>Renato Souza MG</v>
      </c>
      <c r="V34" s="8">
        <f t="shared" si="20"/>
        <v>3</v>
      </c>
      <c r="W34" s="8">
        <f t="shared" si="21"/>
        <v>0</v>
      </c>
    </row>
    <row r="35" spans="1:23" x14ac:dyDescent="0.25">
      <c r="A35" s="7">
        <v>29</v>
      </c>
      <c r="B35" s="18" t="str">
        <f>VLOOKUP($A35, Equipes!$A$3:$B$44, 2, FALSE)</f>
        <v>Alex Lage MG</v>
      </c>
      <c r="C35" s="17">
        <v>1</v>
      </c>
      <c r="D35" s="19" t="s">
        <v>23</v>
      </c>
      <c r="E35" s="17">
        <v>3</v>
      </c>
      <c r="F35" s="20" t="str">
        <f>VLOOKUP($G35, Equipes!$A$3:$B$44, 2, FALSE)</f>
        <v>Eduardo Rocha RJ</v>
      </c>
      <c r="G35" s="21">
        <v>34</v>
      </c>
      <c r="H35" s="18">
        <v>31</v>
      </c>
      <c r="I35" s="18" t="s">
        <v>17</v>
      </c>
      <c r="J35" s="18">
        <v>2</v>
      </c>
      <c r="K35" s="18"/>
      <c r="M35" s="8" t="str">
        <f t="shared" si="11"/>
        <v>Alex Lage MG</v>
      </c>
      <c r="N35" s="8" t="str">
        <f t="shared" si="12"/>
        <v>Eduardo Rocha RJ</v>
      </c>
      <c r="O35" s="8" t="str">
        <f t="shared" si="13"/>
        <v>Eduardo Rocha RJ</v>
      </c>
      <c r="P35" s="8" t="str">
        <f t="shared" si="14"/>
        <v/>
      </c>
      <c r="Q35" s="8" t="str">
        <f t="shared" si="15"/>
        <v/>
      </c>
      <c r="R35" s="8" t="str">
        <f t="shared" si="16"/>
        <v>Alex Lage MG</v>
      </c>
      <c r="S35" s="8" t="str">
        <f t="shared" si="17"/>
        <v>Alex Lage MG</v>
      </c>
      <c r="T35" s="8">
        <f t="shared" si="18"/>
        <v>1</v>
      </c>
      <c r="U35" s="8" t="str">
        <f t="shared" si="19"/>
        <v>Eduardo Rocha RJ</v>
      </c>
      <c r="V35" s="8">
        <f t="shared" si="20"/>
        <v>3</v>
      </c>
      <c r="W35" s="8">
        <f t="shared" si="21"/>
        <v>1</v>
      </c>
    </row>
    <row r="36" spans="1:23" x14ac:dyDescent="0.25">
      <c r="A36" s="7">
        <v>33</v>
      </c>
      <c r="B36" s="8" t="str">
        <f>VLOOKUP($A36, Equipes!$A$3:$B$44, 2, FALSE)</f>
        <v>Rogério MG</v>
      </c>
      <c r="C36" s="17">
        <v>0</v>
      </c>
      <c r="D36" s="9" t="s">
        <v>23</v>
      </c>
      <c r="E36" s="17">
        <v>1</v>
      </c>
      <c r="F36" s="10" t="str">
        <f>VLOOKUP($G36, Equipes!$A$3:$B$44, 2, FALSE)</f>
        <v>Curvelo RJ</v>
      </c>
      <c r="G36" s="7">
        <v>35</v>
      </c>
      <c r="H36" s="8">
        <v>32</v>
      </c>
      <c r="I36" s="8" t="s">
        <v>17</v>
      </c>
      <c r="J36" s="8">
        <v>2</v>
      </c>
      <c r="M36" s="8" t="str">
        <f t="shared" si="11"/>
        <v>Rogério MG</v>
      </c>
      <c r="N36" s="8" t="str">
        <f t="shared" si="12"/>
        <v>Curvelo RJ</v>
      </c>
      <c r="O36" s="8" t="str">
        <f t="shared" si="13"/>
        <v>Curvelo RJ</v>
      </c>
      <c r="P36" s="8" t="str">
        <f t="shared" si="14"/>
        <v/>
      </c>
      <c r="Q36" s="8" t="str">
        <f t="shared" si="15"/>
        <v/>
      </c>
      <c r="R36" s="8" t="str">
        <f t="shared" si="16"/>
        <v>Rogério MG</v>
      </c>
      <c r="S36" s="8" t="str">
        <f t="shared" si="17"/>
        <v>Rogério MG</v>
      </c>
      <c r="T36" s="8">
        <f t="shared" si="18"/>
        <v>0</v>
      </c>
      <c r="U36" s="8" t="str">
        <f t="shared" si="19"/>
        <v>Curvelo RJ</v>
      </c>
      <c r="V36" s="8">
        <f t="shared" si="20"/>
        <v>1</v>
      </c>
      <c r="W36" s="8">
        <f t="shared" si="21"/>
        <v>0</v>
      </c>
    </row>
    <row r="37" spans="1:23" x14ac:dyDescent="0.25">
      <c r="B37" s="12" t="s">
        <v>29</v>
      </c>
      <c r="C37" s="13"/>
      <c r="D37" s="13"/>
      <c r="E37" s="13"/>
      <c r="F37" s="14"/>
      <c r="G37" s="15"/>
      <c r="H37" s="12" t="s">
        <v>12</v>
      </c>
      <c r="I37" s="12" t="s">
        <v>13</v>
      </c>
      <c r="J37" s="12" t="s">
        <v>14</v>
      </c>
      <c r="K37" s="16">
        <f>K3 + TIME(0,40,0)</f>
        <v>44850.444444444445</v>
      </c>
      <c r="M37" s="11" t="s">
        <v>15</v>
      </c>
      <c r="N37" s="11" t="s">
        <v>15</v>
      </c>
      <c r="O37" s="11" t="s">
        <v>16</v>
      </c>
      <c r="P37" s="11" t="s">
        <v>17</v>
      </c>
      <c r="Q37" s="11" t="s">
        <v>17</v>
      </c>
      <c r="R37" s="11" t="s">
        <v>18</v>
      </c>
      <c r="S37" s="11" t="s">
        <v>19</v>
      </c>
      <c r="T37" s="11" t="s">
        <v>20</v>
      </c>
      <c r="U37" s="11" t="s">
        <v>16</v>
      </c>
      <c r="V37" s="11" t="s">
        <v>21</v>
      </c>
      <c r="W37" s="11" t="s">
        <v>22</v>
      </c>
    </row>
    <row r="38" spans="1:23" x14ac:dyDescent="0.25">
      <c r="A38" s="7">
        <v>31</v>
      </c>
      <c r="B38" s="8" t="str">
        <f>VLOOKUP($A38, Equipes!$A$3:$B$44, 2, FALSE)</f>
        <v>João Carlos RJ</v>
      </c>
      <c r="C38" s="17">
        <v>4</v>
      </c>
      <c r="D38" s="9" t="s">
        <v>23</v>
      </c>
      <c r="E38" s="17">
        <v>5</v>
      </c>
      <c r="F38" s="10" t="str">
        <f>VLOOKUP($G38, Equipes!$A$3:$B$44, 2, FALSE)</f>
        <v>Vinicius Rolim RJ</v>
      </c>
      <c r="G38" s="7">
        <v>32</v>
      </c>
      <c r="H38" s="8">
        <v>17</v>
      </c>
      <c r="I38" s="8" t="s">
        <v>17</v>
      </c>
      <c r="J38" s="8">
        <v>2</v>
      </c>
      <c r="M38" s="8" t="str">
        <f t="shared" ref="M38:M53" si="22">IF(OR(C38 = "",E38 = ""), "", B38)</f>
        <v>João Carlos RJ</v>
      </c>
      <c r="N38" s="8" t="str">
        <f t="shared" ref="N38:N53" si="23">IF(OR(C38 = "",E38 = ""), "", F38)</f>
        <v>Vinicius Rolim RJ</v>
      </c>
      <c r="O38" s="8" t="str">
        <f t="shared" ref="O38:O53" si="24">IF(C38&gt;E38,B38, IF(E38&gt;C38,F38, ""))</f>
        <v>Vinicius Rolim RJ</v>
      </c>
      <c r="P38" s="8" t="str">
        <f t="shared" ref="P38:P53" si="25">IF(OR(C38 = "",E38 = ""), "", IF(C38=E38,B38, ""))</f>
        <v/>
      </c>
      <c r="Q38" s="8" t="str">
        <f t="shared" ref="Q38:Q53" si="26">IF(OR(C38 = "",E38 = ""), "", IF(C38=E38,F38, ""))</f>
        <v/>
      </c>
      <c r="R38" s="8" t="str">
        <f t="shared" ref="R38:R53" si="27">IF(C38&gt;E38,F38, IF(E38&gt;C38,B38, ""))</f>
        <v>João Carlos RJ</v>
      </c>
      <c r="S38" s="8" t="str">
        <f t="shared" ref="S38:S53" si="28">IF(OR(C38 = "",E38 = ""), "", B38)</f>
        <v>João Carlos RJ</v>
      </c>
      <c r="T38" s="8">
        <f t="shared" ref="T38:T53" si="29">IF(C38 = "", "", C38)</f>
        <v>4</v>
      </c>
      <c r="U38" s="8" t="str">
        <f t="shared" ref="U38:U53" si="30">IF(OR(C38 = "",E38 = ""), "", F38)</f>
        <v>Vinicius Rolim RJ</v>
      </c>
      <c r="V38" s="8">
        <f t="shared" ref="V38:V53" si="31">IF(E38 = "", "", E38)</f>
        <v>5</v>
      </c>
      <c r="W38" s="8">
        <f t="shared" ref="W38:W53" si="32">IF(C38 = "", "", C38)</f>
        <v>4</v>
      </c>
    </row>
    <row r="39" spans="1:23" x14ac:dyDescent="0.25">
      <c r="A39" s="7">
        <v>36</v>
      </c>
      <c r="B39" s="18" t="str">
        <f>VLOOKUP($A39, Equipes!$A$3:$B$44, 2, FALSE)</f>
        <v>Willow SP</v>
      </c>
      <c r="C39" s="17">
        <v>2</v>
      </c>
      <c r="D39" s="19" t="s">
        <v>23</v>
      </c>
      <c r="E39" s="17">
        <v>3</v>
      </c>
      <c r="F39" s="20" t="str">
        <f>VLOOKUP($G39, Equipes!$A$3:$B$44, 2, FALSE)</f>
        <v>Tavares RJ</v>
      </c>
      <c r="G39" s="21">
        <v>41</v>
      </c>
      <c r="H39" s="18">
        <v>18</v>
      </c>
      <c r="I39" s="18" t="s">
        <v>27</v>
      </c>
      <c r="J39" s="18">
        <v>2</v>
      </c>
      <c r="K39" s="18"/>
      <c r="M39" s="8" t="str">
        <f t="shared" si="22"/>
        <v>Willow SP</v>
      </c>
      <c r="N39" s="8" t="str">
        <f t="shared" si="23"/>
        <v>Tavares RJ</v>
      </c>
      <c r="O39" s="8" t="str">
        <f t="shared" si="24"/>
        <v>Tavares RJ</v>
      </c>
      <c r="P39" s="8" t="str">
        <f t="shared" si="25"/>
        <v/>
      </c>
      <c r="Q39" s="8" t="str">
        <f t="shared" si="26"/>
        <v/>
      </c>
      <c r="R39" s="8" t="str">
        <f t="shared" si="27"/>
        <v>Willow SP</v>
      </c>
      <c r="S39" s="8" t="str">
        <f t="shared" si="28"/>
        <v>Willow SP</v>
      </c>
      <c r="T39" s="8">
        <f t="shared" si="29"/>
        <v>2</v>
      </c>
      <c r="U39" s="8" t="str">
        <f t="shared" si="30"/>
        <v>Tavares RJ</v>
      </c>
      <c r="V39" s="8">
        <f t="shared" si="31"/>
        <v>3</v>
      </c>
      <c r="W39" s="8">
        <f t="shared" si="32"/>
        <v>2</v>
      </c>
    </row>
    <row r="40" spans="1:23" x14ac:dyDescent="0.25">
      <c r="A40" s="7">
        <v>40</v>
      </c>
      <c r="B40" s="8" t="str">
        <f>VLOOKUP($A40, Equipes!$A$3:$B$44, 2, FALSE)</f>
        <v>Marcelo Aranha SP</v>
      </c>
      <c r="C40" s="17">
        <v>1</v>
      </c>
      <c r="D40" s="9" t="s">
        <v>23</v>
      </c>
      <c r="E40" s="17">
        <v>2</v>
      </c>
      <c r="F40" s="10" t="str">
        <f>VLOOKUP($G40, Equipes!$A$3:$B$44, 2, FALSE)</f>
        <v>Bergamini SP</v>
      </c>
      <c r="G40" s="7">
        <v>42</v>
      </c>
      <c r="H40" s="8">
        <v>19</v>
      </c>
      <c r="I40" s="8" t="s">
        <v>27</v>
      </c>
      <c r="J40" s="8">
        <v>2</v>
      </c>
      <c r="M40" s="8" t="str">
        <f t="shared" si="22"/>
        <v>Marcelo Aranha SP</v>
      </c>
      <c r="N40" s="8" t="str">
        <f t="shared" si="23"/>
        <v>Bergamini SP</v>
      </c>
      <c r="O40" s="8" t="str">
        <f t="shared" si="24"/>
        <v>Bergamini SP</v>
      </c>
      <c r="P40" s="8" t="str">
        <f t="shared" si="25"/>
        <v/>
      </c>
      <c r="Q40" s="8" t="str">
        <f t="shared" si="26"/>
        <v/>
      </c>
      <c r="R40" s="8" t="str">
        <f t="shared" si="27"/>
        <v>Marcelo Aranha SP</v>
      </c>
      <c r="S40" s="8" t="str">
        <f t="shared" si="28"/>
        <v>Marcelo Aranha SP</v>
      </c>
      <c r="T40" s="8">
        <f t="shared" si="29"/>
        <v>1</v>
      </c>
      <c r="U40" s="8" t="str">
        <f t="shared" si="30"/>
        <v>Bergamini SP</v>
      </c>
      <c r="V40" s="8">
        <f t="shared" si="31"/>
        <v>2</v>
      </c>
      <c r="W40" s="8">
        <f t="shared" si="32"/>
        <v>1</v>
      </c>
    </row>
    <row r="41" spans="1:23" x14ac:dyDescent="0.25">
      <c r="A41" s="7">
        <v>38</v>
      </c>
      <c r="B41" s="18" t="str">
        <f>VLOOKUP($A41, Equipes!$A$3:$B$44, 2, FALSE)</f>
        <v>João Marcelo MG</v>
      </c>
      <c r="C41" s="17">
        <v>1</v>
      </c>
      <c r="D41" s="19" t="s">
        <v>23</v>
      </c>
      <c r="E41" s="17">
        <v>2</v>
      </c>
      <c r="F41" s="20" t="str">
        <f>VLOOKUP($G41, Equipes!$A$3:$B$44, 2, FALSE)</f>
        <v>Vitor Luiz</v>
      </c>
      <c r="G41" s="21">
        <v>39</v>
      </c>
      <c r="H41" s="18">
        <v>20</v>
      </c>
      <c r="I41" s="18" t="s">
        <v>27</v>
      </c>
      <c r="J41" s="18">
        <v>2</v>
      </c>
      <c r="K41" s="18"/>
      <c r="M41" s="8" t="str">
        <f t="shared" si="22"/>
        <v>João Marcelo MG</v>
      </c>
      <c r="N41" s="8" t="str">
        <f t="shared" si="23"/>
        <v>Vitor Luiz</v>
      </c>
      <c r="O41" s="8" t="str">
        <f t="shared" si="24"/>
        <v>Vitor Luiz</v>
      </c>
      <c r="P41" s="8" t="str">
        <f t="shared" si="25"/>
        <v/>
      </c>
      <c r="Q41" s="8" t="str">
        <f t="shared" si="26"/>
        <v/>
      </c>
      <c r="R41" s="8" t="str">
        <f t="shared" si="27"/>
        <v>João Marcelo MG</v>
      </c>
      <c r="S41" s="8" t="str">
        <f t="shared" si="28"/>
        <v>João Marcelo MG</v>
      </c>
      <c r="T41" s="8">
        <f t="shared" si="29"/>
        <v>1</v>
      </c>
      <c r="U41" s="8" t="str">
        <f t="shared" si="30"/>
        <v>Vitor Luiz</v>
      </c>
      <c r="V41" s="8">
        <f t="shared" si="31"/>
        <v>2</v>
      </c>
      <c r="W41" s="8">
        <f t="shared" si="32"/>
        <v>1</v>
      </c>
    </row>
    <row r="42" spans="1:23" x14ac:dyDescent="0.25">
      <c r="A42" s="7">
        <v>1</v>
      </c>
      <c r="B42" s="8" t="str">
        <f>VLOOKUP($A42, Equipes!$A$3:$B$44, 2, FALSE)</f>
        <v>Gabriel RJ</v>
      </c>
      <c r="C42" s="17">
        <v>5</v>
      </c>
      <c r="D42" s="9" t="s">
        <v>23</v>
      </c>
      <c r="E42" s="17">
        <v>2</v>
      </c>
      <c r="F42" s="10" t="str">
        <f>VLOOKUP($G42, Equipes!$A$3:$B$44, 2, FALSE)</f>
        <v>Gabriel Lisboa PA</v>
      </c>
      <c r="G42" s="7">
        <v>7</v>
      </c>
      <c r="H42" s="8">
        <v>21</v>
      </c>
      <c r="I42" s="8" t="s">
        <v>24</v>
      </c>
      <c r="J42" s="8">
        <v>3</v>
      </c>
      <c r="M42" s="8" t="str">
        <f t="shared" si="22"/>
        <v>Gabriel RJ</v>
      </c>
      <c r="N42" s="8" t="str">
        <f t="shared" si="23"/>
        <v>Gabriel Lisboa PA</v>
      </c>
      <c r="O42" s="8" t="str">
        <f t="shared" si="24"/>
        <v>Gabriel RJ</v>
      </c>
      <c r="P42" s="8" t="str">
        <f t="shared" si="25"/>
        <v/>
      </c>
      <c r="Q42" s="8" t="str">
        <f t="shared" si="26"/>
        <v/>
      </c>
      <c r="R42" s="8" t="str">
        <f t="shared" si="27"/>
        <v>Gabriel Lisboa PA</v>
      </c>
      <c r="S42" s="8" t="str">
        <f t="shared" si="28"/>
        <v>Gabriel RJ</v>
      </c>
      <c r="T42" s="8">
        <f t="shared" si="29"/>
        <v>5</v>
      </c>
      <c r="U42" s="8" t="str">
        <f t="shared" si="30"/>
        <v>Gabriel Lisboa PA</v>
      </c>
      <c r="V42" s="8">
        <f t="shared" si="31"/>
        <v>2</v>
      </c>
      <c r="W42" s="8">
        <f t="shared" si="32"/>
        <v>5</v>
      </c>
    </row>
    <row r="43" spans="1:23" x14ac:dyDescent="0.25">
      <c r="A43" s="7">
        <v>5</v>
      </c>
      <c r="B43" s="18" t="str">
        <f>VLOOKUP($A43, Equipes!$A$3:$B$44, 2, FALSE)</f>
        <v>Thiago Matoso RJ</v>
      </c>
      <c r="C43" s="17">
        <v>2</v>
      </c>
      <c r="D43" s="19" t="s">
        <v>23</v>
      </c>
      <c r="E43" s="17">
        <v>2</v>
      </c>
      <c r="F43" s="20" t="str">
        <f>VLOOKUP($G43, Equipes!$A$3:$B$44, 2, FALSE)</f>
        <v>Pablo Martins RJ</v>
      </c>
      <c r="G43" s="21">
        <v>4</v>
      </c>
      <c r="H43" s="18">
        <v>22</v>
      </c>
      <c r="I43" s="18" t="s">
        <v>24</v>
      </c>
      <c r="J43" s="18">
        <v>3</v>
      </c>
      <c r="K43" s="18"/>
      <c r="M43" s="8" t="str">
        <f t="shared" si="22"/>
        <v>Thiago Matoso RJ</v>
      </c>
      <c r="N43" s="8" t="str">
        <f t="shared" si="23"/>
        <v>Pablo Martins RJ</v>
      </c>
      <c r="O43" s="8" t="str">
        <f t="shared" si="24"/>
        <v/>
      </c>
      <c r="P43" s="8" t="str">
        <f t="shared" si="25"/>
        <v>Thiago Matoso RJ</v>
      </c>
      <c r="Q43" s="8" t="str">
        <f t="shared" si="26"/>
        <v>Pablo Martins RJ</v>
      </c>
      <c r="R43" s="8" t="str">
        <f t="shared" si="27"/>
        <v/>
      </c>
      <c r="S43" s="8" t="str">
        <f t="shared" si="28"/>
        <v>Thiago Matoso RJ</v>
      </c>
      <c r="T43" s="8">
        <f t="shared" si="29"/>
        <v>2</v>
      </c>
      <c r="U43" s="8" t="str">
        <f t="shared" si="30"/>
        <v>Pablo Martins RJ</v>
      </c>
      <c r="V43" s="8">
        <f t="shared" si="31"/>
        <v>2</v>
      </c>
      <c r="W43" s="8">
        <f t="shared" si="32"/>
        <v>2</v>
      </c>
    </row>
    <row r="44" spans="1:23" x14ac:dyDescent="0.25">
      <c r="A44" s="7">
        <v>2</v>
      </c>
      <c r="B44" s="8" t="str">
        <f>VLOOKUP($A44, Equipes!$A$3:$B$44, 2, FALSE)</f>
        <v>Mário Bürguel RS</v>
      </c>
      <c r="C44" s="17">
        <v>3</v>
      </c>
      <c r="D44" s="9" t="s">
        <v>23</v>
      </c>
      <c r="E44" s="17">
        <v>0</v>
      </c>
      <c r="F44" s="10" t="str">
        <f>VLOOKUP($G44, Equipes!$A$3:$B$44, 2, FALSE)</f>
        <v>Dudu RJ</v>
      </c>
      <c r="G44" s="7">
        <v>3</v>
      </c>
      <c r="H44" s="8">
        <v>23</v>
      </c>
      <c r="I44" s="8" t="s">
        <v>24</v>
      </c>
      <c r="J44" s="8">
        <v>3</v>
      </c>
      <c r="M44" s="8" t="str">
        <f t="shared" si="22"/>
        <v>Mário Bürguel RS</v>
      </c>
      <c r="N44" s="8" t="str">
        <f t="shared" si="23"/>
        <v>Dudu RJ</v>
      </c>
      <c r="O44" s="8" t="str">
        <f t="shared" si="24"/>
        <v>Mário Bürguel RS</v>
      </c>
      <c r="P44" s="8" t="str">
        <f t="shared" si="25"/>
        <v/>
      </c>
      <c r="Q44" s="8" t="str">
        <f t="shared" si="26"/>
        <v/>
      </c>
      <c r="R44" s="8" t="str">
        <f t="shared" si="27"/>
        <v>Dudu RJ</v>
      </c>
      <c r="S44" s="8" t="str">
        <f t="shared" si="28"/>
        <v>Mário Bürguel RS</v>
      </c>
      <c r="T44" s="8">
        <f t="shared" si="29"/>
        <v>3</v>
      </c>
      <c r="U44" s="8" t="str">
        <f t="shared" si="30"/>
        <v>Dudu RJ</v>
      </c>
      <c r="V44" s="8">
        <f t="shared" si="31"/>
        <v>0</v>
      </c>
      <c r="W44" s="8">
        <f t="shared" si="32"/>
        <v>3</v>
      </c>
    </row>
    <row r="45" spans="1:23" x14ac:dyDescent="0.25">
      <c r="A45" s="7">
        <v>8</v>
      </c>
      <c r="B45" s="18" t="str">
        <f>VLOOKUP($A45, Equipes!$A$3:$B$44, 2, FALSE)</f>
        <v>Marcelinho RJ</v>
      </c>
      <c r="C45" s="17">
        <v>5</v>
      </c>
      <c r="D45" s="19" t="s">
        <v>23</v>
      </c>
      <c r="E45" s="17">
        <v>0</v>
      </c>
      <c r="F45" s="20" t="str">
        <f>VLOOKUP($G45, Equipes!$A$3:$B$44, 2, FALSE)</f>
        <v>Ronaldo Eifler RS</v>
      </c>
      <c r="G45" s="21">
        <v>14</v>
      </c>
      <c r="H45" s="18">
        <v>24</v>
      </c>
      <c r="I45" s="18" t="s">
        <v>25</v>
      </c>
      <c r="J45" s="18">
        <v>3</v>
      </c>
      <c r="K45" s="18"/>
      <c r="M45" s="8" t="str">
        <f t="shared" si="22"/>
        <v>Marcelinho RJ</v>
      </c>
      <c r="N45" s="8" t="str">
        <f t="shared" si="23"/>
        <v>Ronaldo Eifler RS</v>
      </c>
      <c r="O45" s="8" t="str">
        <f t="shared" si="24"/>
        <v>Marcelinho RJ</v>
      </c>
      <c r="P45" s="8" t="str">
        <f t="shared" si="25"/>
        <v/>
      </c>
      <c r="Q45" s="8" t="str">
        <f t="shared" si="26"/>
        <v/>
      </c>
      <c r="R45" s="8" t="str">
        <f t="shared" si="27"/>
        <v>Ronaldo Eifler RS</v>
      </c>
      <c r="S45" s="8" t="str">
        <f t="shared" si="28"/>
        <v>Marcelinho RJ</v>
      </c>
      <c r="T45" s="8">
        <f t="shared" si="29"/>
        <v>5</v>
      </c>
      <c r="U45" s="8" t="str">
        <f t="shared" si="30"/>
        <v>Ronaldo Eifler RS</v>
      </c>
      <c r="V45" s="8">
        <f t="shared" si="31"/>
        <v>0</v>
      </c>
      <c r="W45" s="8">
        <f t="shared" si="32"/>
        <v>5</v>
      </c>
    </row>
    <row r="46" spans="1:23" x14ac:dyDescent="0.25">
      <c r="A46" s="7">
        <v>12</v>
      </c>
      <c r="B46" s="8" t="str">
        <f>VLOOKUP($A46, Equipes!$A$3:$B$44, 2, FALSE)</f>
        <v>Lian MG</v>
      </c>
      <c r="C46" s="17">
        <v>4</v>
      </c>
      <c r="D46" s="9" t="s">
        <v>23</v>
      </c>
      <c r="E46" s="17">
        <v>3</v>
      </c>
      <c r="F46" s="10" t="str">
        <f>VLOOKUP($G46, Equipes!$A$3:$B$44, 2, FALSE)</f>
        <v>Diogo SP</v>
      </c>
      <c r="G46" s="7">
        <v>11</v>
      </c>
      <c r="H46" s="8">
        <v>25</v>
      </c>
      <c r="I46" s="8" t="s">
        <v>25</v>
      </c>
      <c r="J46" s="8">
        <v>3</v>
      </c>
      <c r="M46" s="8" t="str">
        <f t="shared" si="22"/>
        <v>Lian MG</v>
      </c>
      <c r="N46" s="8" t="str">
        <f t="shared" si="23"/>
        <v>Diogo SP</v>
      </c>
      <c r="O46" s="8" t="str">
        <f t="shared" si="24"/>
        <v>Lian MG</v>
      </c>
      <c r="P46" s="8" t="str">
        <f t="shared" si="25"/>
        <v/>
      </c>
      <c r="Q46" s="8" t="str">
        <f t="shared" si="26"/>
        <v/>
      </c>
      <c r="R46" s="8" t="str">
        <f t="shared" si="27"/>
        <v>Diogo SP</v>
      </c>
      <c r="S46" s="8" t="str">
        <f t="shared" si="28"/>
        <v>Lian MG</v>
      </c>
      <c r="T46" s="8">
        <f t="shared" si="29"/>
        <v>4</v>
      </c>
      <c r="U46" s="8" t="str">
        <f t="shared" si="30"/>
        <v>Diogo SP</v>
      </c>
      <c r="V46" s="8">
        <f t="shared" si="31"/>
        <v>3</v>
      </c>
      <c r="W46" s="8">
        <f t="shared" si="32"/>
        <v>4</v>
      </c>
    </row>
    <row r="47" spans="1:23" x14ac:dyDescent="0.25">
      <c r="A47" s="7">
        <v>9</v>
      </c>
      <c r="B47" s="18" t="str">
        <f>VLOOKUP($A47, Equipes!$A$3:$B$44, 2, FALSE)</f>
        <v>Capela SC</v>
      </c>
      <c r="C47" s="17">
        <v>2</v>
      </c>
      <c r="D47" s="19" t="s">
        <v>23</v>
      </c>
      <c r="E47" s="17">
        <v>0</v>
      </c>
      <c r="F47" s="20" t="str">
        <f>VLOOKUP($G47, Equipes!$A$3:$B$44, 2, FALSE)</f>
        <v>Roberto Giolo MS</v>
      </c>
      <c r="G47" s="21">
        <v>10</v>
      </c>
      <c r="H47" s="18">
        <v>26</v>
      </c>
      <c r="I47" s="18" t="s">
        <v>25</v>
      </c>
      <c r="J47" s="18">
        <v>3</v>
      </c>
      <c r="K47" s="18"/>
      <c r="M47" s="8" t="str">
        <f t="shared" si="22"/>
        <v>Capela SC</v>
      </c>
      <c r="N47" s="8" t="str">
        <f t="shared" si="23"/>
        <v>Roberto Giolo MS</v>
      </c>
      <c r="O47" s="8" t="str">
        <f t="shared" si="24"/>
        <v>Capela SC</v>
      </c>
      <c r="P47" s="8" t="str">
        <f t="shared" si="25"/>
        <v/>
      </c>
      <c r="Q47" s="8" t="str">
        <f t="shared" si="26"/>
        <v/>
      </c>
      <c r="R47" s="8" t="str">
        <f t="shared" si="27"/>
        <v>Roberto Giolo MS</v>
      </c>
      <c r="S47" s="8" t="str">
        <f t="shared" si="28"/>
        <v>Capela SC</v>
      </c>
      <c r="T47" s="8">
        <f t="shared" si="29"/>
        <v>2</v>
      </c>
      <c r="U47" s="8" t="str">
        <f t="shared" si="30"/>
        <v>Roberto Giolo MS</v>
      </c>
      <c r="V47" s="8">
        <f t="shared" si="31"/>
        <v>0</v>
      </c>
      <c r="W47" s="8">
        <f t="shared" si="32"/>
        <v>2</v>
      </c>
    </row>
    <row r="48" spans="1:23" x14ac:dyDescent="0.25">
      <c r="A48" s="7">
        <v>15</v>
      </c>
      <c r="B48" s="8" t="str">
        <f>VLOOKUP($A48, Equipes!$A$3:$B$44, 2, FALSE)</f>
        <v>Claudio Jr MG</v>
      </c>
      <c r="C48" s="17">
        <v>1</v>
      </c>
      <c r="D48" s="9" t="s">
        <v>23</v>
      </c>
      <c r="E48" s="17">
        <v>0</v>
      </c>
      <c r="F48" s="10" t="str">
        <f>VLOOKUP($G48, Equipes!$A$3:$B$44, 2, FALSE)</f>
        <v>Luiz Coelho SP</v>
      </c>
      <c r="G48" s="7">
        <v>21</v>
      </c>
      <c r="H48" s="8">
        <v>27</v>
      </c>
      <c r="I48" s="8" t="s">
        <v>26</v>
      </c>
      <c r="J48" s="8">
        <v>3</v>
      </c>
      <c r="M48" s="8" t="str">
        <f t="shared" si="22"/>
        <v>Claudio Jr MG</v>
      </c>
      <c r="N48" s="8" t="str">
        <f t="shared" si="23"/>
        <v>Luiz Coelho SP</v>
      </c>
      <c r="O48" s="8" t="str">
        <f t="shared" si="24"/>
        <v>Claudio Jr MG</v>
      </c>
      <c r="P48" s="8" t="str">
        <f t="shared" si="25"/>
        <v/>
      </c>
      <c r="Q48" s="8" t="str">
        <f t="shared" si="26"/>
        <v/>
      </c>
      <c r="R48" s="8" t="str">
        <f t="shared" si="27"/>
        <v>Luiz Coelho SP</v>
      </c>
      <c r="S48" s="8" t="str">
        <f t="shared" si="28"/>
        <v>Claudio Jr MG</v>
      </c>
      <c r="T48" s="8">
        <f t="shared" si="29"/>
        <v>1</v>
      </c>
      <c r="U48" s="8" t="str">
        <f t="shared" si="30"/>
        <v>Luiz Coelho SP</v>
      </c>
      <c r="V48" s="8">
        <f t="shared" si="31"/>
        <v>0</v>
      </c>
      <c r="W48" s="8">
        <f t="shared" si="32"/>
        <v>1</v>
      </c>
    </row>
    <row r="49" spans="1:23" x14ac:dyDescent="0.25">
      <c r="A49" s="7">
        <v>19</v>
      </c>
      <c r="B49" s="18" t="str">
        <f>VLOOKUP($A49, Equipes!$A$3:$B$44, 2, FALSE)</f>
        <v>Afonso SP</v>
      </c>
      <c r="C49" s="17">
        <v>2</v>
      </c>
      <c r="D49" s="19" t="s">
        <v>23</v>
      </c>
      <c r="E49" s="17">
        <v>0</v>
      </c>
      <c r="F49" s="20" t="str">
        <f>VLOOKUP($G49, Equipes!$A$3:$B$44, 2, FALSE)</f>
        <v>Cléo Jr SP</v>
      </c>
      <c r="G49" s="21">
        <v>18</v>
      </c>
      <c r="H49" s="18">
        <v>28</v>
      </c>
      <c r="I49" s="18" t="s">
        <v>26</v>
      </c>
      <c r="J49" s="18">
        <v>3</v>
      </c>
      <c r="K49" s="18"/>
      <c r="M49" s="8" t="str">
        <f t="shared" si="22"/>
        <v>Afonso SP</v>
      </c>
      <c r="N49" s="8" t="str">
        <f t="shared" si="23"/>
        <v>Cléo Jr SP</v>
      </c>
      <c r="O49" s="8" t="str">
        <f t="shared" si="24"/>
        <v>Afonso SP</v>
      </c>
      <c r="P49" s="8" t="str">
        <f t="shared" si="25"/>
        <v/>
      </c>
      <c r="Q49" s="8" t="str">
        <f t="shared" si="26"/>
        <v/>
      </c>
      <c r="R49" s="8" t="str">
        <f t="shared" si="27"/>
        <v>Cléo Jr SP</v>
      </c>
      <c r="S49" s="8" t="str">
        <f t="shared" si="28"/>
        <v>Afonso SP</v>
      </c>
      <c r="T49" s="8">
        <f t="shared" si="29"/>
        <v>2</v>
      </c>
      <c r="U49" s="8" t="str">
        <f t="shared" si="30"/>
        <v>Cléo Jr SP</v>
      </c>
      <c r="V49" s="8">
        <f t="shared" si="31"/>
        <v>0</v>
      </c>
      <c r="W49" s="8">
        <f t="shared" si="32"/>
        <v>2</v>
      </c>
    </row>
    <row r="50" spans="1:23" x14ac:dyDescent="0.25">
      <c r="A50" s="7">
        <v>16</v>
      </c>
      <c r="B50" s="8" t="str">
        <f>VLOOKUP($A50, Equipes!$A$3:$B$44, 2, FALSE)</f>
        <v>Kaka RJ</v>
      </c>
      <c r="C50" s="17">
        <v>2</v>
      </c>
      <c r="D50" s="9" t="s">
        <v>23</v>
      </c>
      <c r="E50" s="17">
        <v>4</v>
      </c>
      <c r="F50" s="10" t="str">
        <f>VLOOKUP($G50, Equipes!$A$3:$B$44, 2, FALSE)</f>
        <v>Almo PR</v>
      </c>
      <c r="G50" s="7">
        <v>17</v>
      </c>
      <c r="H50" s="8">
        <v>29</v>
      </c>
      <c r="I50" s="8" t="s">
        <v>26</v>
      </c>
      <c r="J50" s="8">
        <v>3</v>
      </c>
      <c r="M50" s="8" t="str">
        <f t="shared" si="22"/>
        <v>Kaka RJ</v>
      </c>
      <c r="N50" s="8" t="str">
        <f t="shared" si="23"/>
        <v>Almo PR</v>
      </c>
      <c r="O50" s="8" t="str">
        <f t="shared" si="24"/>
        <v>Almo PR</v>
      </c>
      <c r="P50" s="8" t="str">
        <f t="shared" si="25"/>
        <v/>
      </c>
      <c r="Q50" s="8" t="str">
        <f t="shared" si="26"/>
        <v/>
      </c>
      <c r="R50" s="8" t="str">
        <f t="shared" si="27"/>
        <v>Kaka RJ</v>
      </c>
      <c r="S50" s="8" t="str">
        <f t="shared" si="28"/>
        <v>Kaka RJ</v>
      </c>
      <c r="T50" s="8">
        <f t="shared" si="29"/>
        <v>2</v>
      </c>
      <c r="U50" s="8" t="str">
        <f t="shared" si="30"/>
        <v>Almo PR</v>
      </c>
      <c r="V50" s="8">
        <f t="shared" si="31"/>
        <v>4</v>
      </c>
      <c r="W50" s="8">
        <f t="shared" si="32"/>
        <v>2</v>
      </c>
    </row>
    <row r="51" spans="1:23" x14ac:dyDescent="0.25">
      <c r="A51" s="7">
        <v>22</v>
      </c>
      <c r="B51" s="18" t="str">
        <f>VLOOKUP($A51, Equipes!$A$3:$B$44, 2, FALSE)</f>
        <v>João Paulo MG</v>
      </c>
      <c r="C51" s="17">
        <v>1</v>
      </c>
      <c r="D51" s="19" t="s">
        <v>23</v>
      </c>
      <c r="E51" s="17">
        <v>2</v>
      </c>
      <c r="F51" s="20" t="str">
        <f>VLOOKUP($G51, Equipes!$A$3:$B$44, 2, FALSE)</f>
        <v>Claudio Mastrangelo RS</v>
      </c>
      <c r="G51" s="21">
        <v>28</v>
      </c>
      <c r="H51" s="18">
        <v>30</v>
      </c>
      <c r="I51" s="18" t="s">
        <v>18</v>
      </c>
      <c r="J51" s="18">
        <v>3</v>
      </c>
      <c r="K51" s="18"/>
      <c r="M51" s="8" t="str">
        <f t="shared" si="22"/>
        <v>João Paulo MG</v>
      </c>
      <c r="N51" s="8" t="str">
        <f t="shared" si="23"/>
        <v>Claudio Mastrangelo RS</v>
      </c>
      <c r="O51" s="8" t="str">
        <f t="shared" si="24"/>
        <v>Claudio Mastrangelo RS</v>
      </c>
      <c r="P51" s="8" t="str">
        <f t="shared" si="25"/>
        <v/>
      </c>
      <c r="Q51" s="8" t="str">
        <f t="shared" si="26"/>
        <v/>
      </c>
      <c r="R51" s="8" t="str">
        <f t="shared" si="27"/>
        <v>João Paulo MG</v>
      </c>
      <c r="S51" s="8" t="str">
        <f t="shared" si="28"/>
        <v>João Paulo MG</v>
      </c>
      <c r="T51" s="8">
        <f t="shared" si="29"/>
        <v>1</v>
      </c>
      <c r="U51" s="8" t="str">
        <f t="shared" si="30"/>
        <v>Claudio Mastrangelo RS</v>
      </c>
      <c r="V51" s="8">
        <f t="shared" si="31"/>
        <v>2</v>
      </c>
      <c r="W51" s="8">
        <f t="shared" si="32"/>
        <v>1</v>
      </c>
    </row>
    <row r="52" spans="1:23" x14ac:dyDescent="0.25">
      <c r="A52" s="7">
        <v>26</v>
      </c>
      <c r="B52" s="8" t="str">
        <f>VLOOKUP($A52, Equipes!$A$3:$B$44, 2, FALSE)</f>
        <v>Israel RJ</v>
      </c>
      <c r="C52" s="17">
        <v>2</v>
      </c>
      <c r="D52" s="9" t="s">
        <v>23</v>
      </c>
      <c r="E52" s="17">
        <v>1</v>
      </c>
      <c r="F52" s="10" t="str">
        <f>VLOOKUP($G52, Equipes!$A$3:$B$44, 2, FALSE)</f>
        <v>Renato Souza MG</v>
      </c>
      <c r="G52" s="7">
        <v>25</v>
      </c>
      <c r="H52" s="8">
        <v>31</v>
      </c>
      <c r="I52" s="8" t="s">
        <v>18</v>
      </c>
      <c r="J52" s="8">
        <v>3</v>
      </c>
      <c r="M52" s="8" t="str">
        <f t="shared" si="22"/>
        <v>Israel RJ</v>
      </c>
      <c r="N52" s="8" t="str">
        <f t="shared" si="23"/>
        <v>Renato Souza MG</v>
      </c>
      <c r="O52" s="8" t="str">
        <f t="shared" si="24"/>
        <v>Israel RJ</v>
      </c>
      <c r="P52" s="8" t="str">
        <f t="shared" si="25"/>
        <v/>
      </c>
      <c r="Q52" s="8" t="str">
        <f t="shared" si="26"/>
        <v/>
      </c>
      <c r="R52" s="8" t="str">
        <f t="shared" si="27"/>
        <v>Renato Souza MG</v>
      </c>
      <c r="S52" s="8" t="str">
        <f t="shared" si="28"/>
        <v>Israel RJ</v>
      </c>
      <c r="T52" s="8">
        <f t="shared" si="29"/>
        <v>2</v>
      </c>
      <c r="U52" s="8" t="str">
        <f t="shared" si="30"/>
        <v>Renato Souza MG</v>
      </c>
      <c r="V52" s="8">
        <f t="shared" si="31"/>
        <v>1</v>
      </c>
      <c r="W52" s="8">
        <f t="shared" si="32"/>
        <v>2</v>
      </c>
    </row>
    <row r="53" spans="1:23" x14ac:dyDescent="0.25">
      <c r="A53" s="7">
        <v>23</v>
      </c>
      <c r="B53" s="18" t="str">
        <f>VLOOKUP($A53, Equipes!$A$3:$B$44, 2, FALSE)</f>
        <v>Alysson RJ</v>
      </c>
      <c r="C53" s="17">
        <v>1</v>
      </c>
      <c r="D53" s="19" t="s">
        <v>23</v>
      </c>
      <c r="E53" s="17">
        <v>1</v>
      </c>
      <c r="F53" s="20" t="str">
        <f>VLOOKUP($G53, Equipes!$A$3:$B$44, 2, FALSE)</f>
        <v>Marcelo Baceiredo MG</v>
      </c>
      <c r="G53" s="21">
        <v>24</v>
      </c>
      <c r="H53" s="18">
        <v>32</v>
      </c>
      <c r="I53" s="18" t="s">
        <v>18</v>
      </c>
      <c r="J53" s="18">
        <v>3</v>
      </c>
      <c r="K53" s="18"/>
      <c r="M53" s="8" t="str">
        <f t="shared" si="22"/>
        <v>Alysson RJ</v>
      </c>
      <c r="N53" s="8" t="str">
        <f t="shared" si="23"/>
        <v>Marcelo Baceiredo MG</v>
      </c>
      <c r="O53" s="8" t="str">
        <f t="shared" si="24"/>
        <v/>
      </c>
      <c r="P53" s="8" t="str">
        <f t="shared" si="25"/>
        <v>Alysson RJ</v>
      </c>
      <c r="Q53" s="8" t="str">
        <f t="shared" si="26"/>
        <v>Marcelo Baceiredo MG</v>
      </c>
      <c r="R53" s="8" t="str">
        <f t="shared" si="27"/>
        <v/>
      </c>
      <c r="S53" s="8" t="str">
        <f t="shared" si="28"/>
        <v>Alysson RJ</v>
      </c>
      <c r="T53" s="8">
        <f t="shared" si="29"/>
        <v>1</v>
      </c>
      <c r="U53" s="8" t="str">
        <f t="shared" si="30"/>
        <v>Marcelo Baceiredo MG</v>
      </c>
      <c r="V53" s="8">
        <f t="shared" si="31"/>
        <v>1</v>
      </c>
      <c r="W53" s="8">
        <f t="shared" si="32"/>
        <v>1</v>
      </c>
    </row>
    <row r="54" spans="1:23" x14ac:dyDescent="0.25">
      <c r="B54" s="12" t="s">
        <v>30</v>
      </c>
      <c r="C54" s="13"/>
      <c r="D54" s="13"/>
      <c r="E54" s="13"/>
      <c r="F54" s="14"/>
      <c r="G54" s="15"/>
      <c r="H54" s="12" t="s">
        <v>12</v>
      </c>
      <c r="I54" s="12" t="s">
        <v>13</v>
      </c>
      <c r="J54" s="12" t="s">
        <v>14</v>
      </c>
      <c r="K54" s="16">
        <f>K3 + TIME(0,60,0)</f>
        <v>44850.458333333328</v>
      </c>
      <c r="M54" s="11" t="s">
        <v>15</v>
      </c>
      <c r="N54" s="11" t="s">
        <v>15</v>
      </c>
      <c r="O54" s="11" t="s">
        <v>16</v>
      </c>
      <c r="P54" s="11" t="s">
        <v>17</v>
      </c>
      <c r="Q54" s="11" t="s">
        <v>17</v>
      </c>
      <c r="R54" s="11" t="s">
        <v>18</v>
      </c>
      <c r="S54" s="11" t="s">
        <v>19</v>
      </c>
      <c r="T54" s="11" t="s">
        <v>20</v>
      </c>
      <c r="U54" s="11" t="s">
        <v>16</v>
      </c>
      <c r="V54" s="11" t="s">
        <v>21</v>
      </c>
      <c r="W54" s="11" t="s">
        <v>22</v>
      </c>
    </row>
    <row r="55" spans="1:23" x14ac:dyDescent="0.25">
      <c r="A55" s="7">
        <v>29</v>
      </c>
      <c r="B55" s="18" t="str">
        <f>VLOOKUP($A55, Equipes!$A$3:$B$44, 2, FALSE)</f>
        <v>Alex Lage MG</v>
      </c>
      <c r="C55" s="17">
        <v>2</v>
      </c>
      <c r="D55" s="19" t="s">
        <v>23</v>
      </c>
      <c r="E55" s="17">
        <v>1</v>
      </c>
      <c r="F55" s="20" t="str">
        <f>VLOOKUP($G55, Equipes!$A$3:$B$44, 2, FALSE)</f>
        <v>Curvelo RJ</v>
      </c>
      <c r="G55" s="21">
        <v>35</v>
      </c>
      <c r="H55" s="18">
        <v>17</v>
      </c>
      <c r="I55" s="18" t="s">
        <v>17</v>
      </c>
      <c r="J55" s="18">
        <v>3</v>
      </c>
      <c r="K55" s="18"/>
      <c r="M55" s="8" t="str">
        <f t="shared" ref="M55:M70" si="33">IF(OR(C55 = "",E55 = ""), "", B55)</f>
        <v>Alex Lage MG</v>
      </c>
      <c r="N55" s="8" t="str">
        <f t="shared" ref="N55:N70" si="34">IF(OR(C55 = "",E55 = ""), "", F55)</f>
        <v>Curvelo RJ</v>
      </c>
      <c r="O55" s="8" t="str">
        <f t="shared" ref="O55:O70" si="35">IF(C55&gt;E55,B55, IF(E55&gt;C55,F55, ""))</f>
        <v>Alex Lage MG</v>
      </c>
      <c r="P55" s="8" t="str">
        <f t="shared" ref="P55:P70" si="36">IF(OR(C55 = "",E55 = ""), "", IF(C55=E55,B55, ""))</f>
        <v/>
      </c>
      <c r="Q55" s="8" t="str">
        <f t="shared" ref="Q55:Q70" si="37">IF(OR(C55 = "",E55 = ""), "", IF(C55=E55,F55, ""))</f>
        <v/>
      </c>
      <c r="R55" s="8" t="str">
        <f t="shared" ref="R55:R70" si="38">IF(C55&gt;E55,F55, IF(E55&gt;C55,B55, ""))</f>
        <v>Curvelo RJ</v>
      </c>
      <c r="S55" s="8" t="str">
        <f t="shared" ref="S55:S70" si="39">IF(OR(C55 = "",E55 = ""), "", B55)</f>
        <v>Alex Lage MG</v>
      </c>
      <c r="T55" s="8">
        <f t="shared" ref="T55:T70" si="40">IF(C55 = "", "", C55)</f>
        <v>2</v>
      </c>
      <c r="U55" s="8" t="str">
        <f t="shared" ref="U55:U70" si="41">IF(OR(C55 = "",E55 = ""), "", F55)</f>
        <v>Curvelo RJ</v>
      </c>
      <c r="V55" s="8">
        <f t="shared" ref="V55:V70" si="42">IF(E55 = "", "", E55)</f>
        <v>1</v>
      </c>
      <c r="W55" s="8">
        <f t="shared" ref="W55:W70" si="43">IF(C55 = "", "", C55)</f>
        <v>2</v>
      </c>
    </row>
    <row r="56" spans="1:23" x14ac:dyDescent="0.25">
      <c r="A56" s="7">
        <v>33</v>
      </c>
      <c r="B56" s="8" t="str">
        <f>VLOOKUP($A56, Equipes!$A$3:$B$44, 2, FALSE)</f>
        <v>Rogério MG</v>
      </c>
      <c r="C56" s="17">
        <v>1</v>
      </c>
      <c r="D56" s="9" t="s">
        <v>23</v>
      </c>
      <c r="E56" s="17">
        <v>3</v>
      </c>
      <c r="F56" s="10" t="str">
        <f>VLOOKUP($G56, Equipes!$A$3:$B$44, 2, FALSE)</f>
        <v>Vinicius Rolim RJ</v>
      </c>
      <c r="G56" s="7">
        <v>32</v>
      </c>
      <c r="H56" s="8">
        <v>18</v>
      </c>
      <c r="I56" s="8" t="s">
        <v>17</v>
      </c>
      <c r="J56" s="8">
        <v>3</v>
      </c>
      <c r="M56" s="8" t="str">
        <f t="shared" si="33"/>
        <v>Rogério MG</v>
      </c>
      <c r="N56" s="8" t="str">
        <f t="shared" si="34"/>
        <v>Vinicius Rolim RJ</v>
      </c>
      <c r="O56" s="8" t="str">
        <f t="shared" si="35"/>
        <v>Vinicius Rolim RJ</v>
      </c>
      <c r="P56" s="8" t="str">
        <f t="shared" si="36"/>
        <v/>
      </c>
      <c r="Q56" s="8" t="str">
        <f t="shared" si="37"/>
        <v/>
      </c>
      <c r="R56" s="8" t="str">
        <f t="shared" si="38"/>
        <v>Rogério MG</v>
      </c>
      <c r="S56" s="8" t="str">
        <f t="shared" si="39"/>
        <v>Rogério MG</v>
      </c>
      <c r="T56" s="8">
        <f t="shared" si="40"/>
        <v>1</v>
      </c>
      <c r="U56" s="8" t="str">
        <f t="shared" si="41"/>
        <v>Vinicius Rolim RJ</v>
      </c>
      <c r="V56" s="8">
        <f t="shared" si="42"/>
        <v>3</v>
      </c>
      <c r="W56" s="8">
        <f t="shared" si="43"/>
        <v>1</v>
      </c>
    </row>
    <row r="57" spans="1:23" x14ac:dyDescent="0.25">
      <c r="A57" s="7">
        <v>30</v>
      </c>
      <c r="B57" s="18" t="str">
        <f>VLOOKUP($A57, Equipes!$A$3:$B$44, 2, FALSE)</f>
        <v>André Araújo AM</v>
      </c>
      <c r="C57" s="17">
        <v>1</v>
      </c>
      <c r="D57" s="19" t="s">
        <v>23</v>
      </c>
      <c r="E57" s="17">
        <v>3</v>
      </c>
      <c r="F57" s="20" t="str">
        <f>VLOOKUP($G57, Equipes!$A$3:$B$44, 2, FALSE)</f>
        <v>João Carlos RJ</v>
      </c>
      <c r="G57" s="21">
        <v>31</v>
      </c>
      <c r="H57" s="18">
        <v>19</v>
      </c>
      <c r="I57" s="18" t="s">
        <v>17</v>
      </c>
      <c r="J57" s="18">
        <v>3</v>
      </c>
      <c r="K57" s="18"/>
      <c r="M57" s="8" t="str">
        <f t="shared" si="33"/>
        <v>André Araújo AM</v>
      </c>
      <c r="N57" s="8" t="str">
        <f t="shared" si="34"/>
        <v>João Carlos RJ</v>
      </c>
      <c r="O57" s="8" t="str">
        <f t="shared" si="35"/>
        <v>João Carlos RJ</v>
      </c>
      <c r="P57" s="8" t="str">
        <f t="shared" si="36"/>
        <v/>
      </c>
      <c r="Q57" s="8" t="str">
        <f t="shared" si="37"/>
        <v/>
      </c>
      <c r="R57" s="8" t="str">
        <f t="shared" si="38"/>
        <v>André Araújo AM</v>
      </c>
      <c r="S57" s="8" t="str">
        <f t="shared" si="39"/>
        <v>André Araújo AM</v>
      </c>
      <c r="T57" s="8">
        <f t="shared" si="40"/>
        <v>1</v>
      </c>
      <c r="U57" s="8" t="str">
        <f t="shared" si="41"/>
        <v>João Carlos RJ</v>
      </c>
      <c r="V57" s="8">
        <f t="shared" si="42"/>
        <v>3</v>
      </c>
      <c r="W57" s="8">
        <f t="shared" si="43"/>
        <v>1</v>
      </c>
    </row>
    <row r="58" spans="1:23" x14ac:dyDescent="0.25">
      <c r="A58" s="7">
        <v>36</v>
      </c>
      <c r="B58" s="8" t="str">
        <f>VLOOKUP($A58, Equipes!$A$3:$B$44, 2, FALSE)</f>
        <v>Willow SP</v>
      </c>
      <c r="C58" s="17">
        <v>3</v>
      </c>
      <c r="D58" s="9" t="s">
        <v>23</v>
      </c>
      <c r="E58" s="17">
        <v>2</v>
      </c>
      <c r="F58" s="10" t="str">
        <f>VLOOKUP($G58, Equipes!$A$3:$B$44, 2, FALSE)</f>
        <v>Bergamini SP</v>
      </c>
      <c r="G58" s="7">
        <v>42</v>
      </c>
      <c r="H58" s="8">
        <v>20</v>
      </c>
      <c r="I58" s="8" t="s">
        <v>27</v>
      </c>
      <c r="J58" s="8">
        <v>3</v>
      </c>
      <c r="M58" s="8" t="str">
        <f t="shared" si="33"/>
        <v>Willow SP</v>
      </c>
      <c r="N58" s="8" t="str">
        <f t="shared" si="34"/>
        <v>Bergamini SP</v>
      </c>
      <c r="O58" s="8" t="str">
        <f t="shared" si="35"/>
        <v>Willow SP</v>
      </c>
      <c r="P58" s="8" t="str">
        <f t="shared" si="36"/>
        <v/>
      </c>
      <c r="Q58" s="8" t="str">
        <f t="shared" si="37"/>
        <v/>
      </c>
      <c r="R58" s="8" t="str">
        <f t="shared" si="38"/>
        <v>Bergamini SP</v>
      </c>
      <c r="S58" s="8" t="str">
        <f t="shared" si="39"/>
        <v>Willow SP</v>
      </c>
      <c r="T58" s="8">
        <f t="shared" si="40"/>
        <v>3</v>
      </c>
      <c r="U58" s="8" t="str">
        <f t="shared" si="41"/>
        <v>Bergamini SP</v>
      </c>
      <c r="V58" s="8">
        <f t="shared" si="42"/>
        <v>2</v>
      </c>
      <c r="W58" s="8">
        <f t="shared" si="43"/>
        <v>3</v>
      </c>
    </row>
    <row r="59" spans="1:23" x14ac:dyDescent="0.25">
      <c r="A59" s="7">
        <v>40</v>
      </c>
      <c r="B59" s="18" t="str">
        <f>VLOOKUP($A59, Equipes!$A$3:$B$44, 2, FALSE)</f>
        <v>Marcelo Aranha SP</v>
      </c>
      <c r="C59" s="17">
        <v>1</v>
      </c>
      <c r="D59" s="19" t="s">
        <v>23</v>
      </c>
      <c r="E59" s="17">
        <v>0</v>
      </c>
      <c r="F59" s="20" t="str">
        <f>VLOOKUP($G59, Equipes!$A$3:$B$44, 2, FALSE)</f>
        <v>Vitor Luiz</v>
      </c>
      <c r="G59" s="21">
        <v>39</v>
      </c>
      <c r="H59" s="18">
        <v>21</v>
      </c>
      <c r="I59" s="18" t="s">
        <v>27</v>
      </c>
      <c r="J59" s="18">
        <v>3</v>
      </c>
      <c r="K59" s="18"/>
      <c r="M59" s="8" t="str">
        <f t="shared" si="33"/>
        <v>Marcelo Aranha SP</v>
      </c>
      <c r="N59" s="8" t="str">
        <f t="shared" si="34"/>
        <v>Vitor Luiz</v>
      </c>
      <c r="O59" s="8" t="str">
        <f t="shared" si="35"/>
        <v>Marcelo Aranha SP</v>
      </c>
      <c r="P59" s="8" t="str">
        <f t="shared" si="36"/>
        <v/>
      </c>
      <c r="Q59" s="8" t="str">
        <f t="shared" si="37"/>
        <v/>
      </c>
      <c r="R59" s="8" t="str">
        <f t="shared" si="38"/>
        <v>Vitor Luiz</v>
      </c>
      <c r="S59" s="8" t="str">
        <f t="shared" si="39"/>
        <v>Marcelo Aranha SP</v>
      </c>
      <c r="T59" s="8">
        <f t="shared" si="40"/>
        <v>1</v>
      </c>
      <c r="U59" s="8" t="str">
        <f t="shared" si="41"/>
        <v>Vitor Luiz</v>
      </c>
      <c r="V59" s="8">
        <f t="shared" si="42"/>
        <v>0</v>
      </c>
      <c r="W59" s="8">
        <f t="shared" si="43"/>
        <v>1</v>
      </c>
    </row>
    <row r="60" spans="1:23" x14ac:dyDescent="0.25">
      <c r="A60" s="7">
        <v>37</v>
      </c>
      <c r="B60" s="8" t="str">
        <f>VLOOKUP($A60, Equipes!$A$3:$B$44, 2, FALSE)</f>
        <v>Elsio SP</v>
      </c>
      <c r="C60" s="17">
        <v>3</v>
      </c>
      <c r="D60" s="9" t="s">
        <v>23</v>
      </c>
      <c r="E60" s="17">
        <v>2</v>
      </c>
      <c r="F60" s="10" t="str">
        <f>VLOOKUP($G60, Equipes!$A$3:$B$44, 2, FALSE)</f>
        <v>João Marcelo MG</v>
      </c>
      <c r="G60" s="7">
        <v>38</v>
      </c>
      <c r="H60" s="8">
        <v>22</v>
      </c>
      <c r="I60" s="8" t="s">
        <v>27</v>
      </c>
      <c r="J60" s="8">
        <v>3</v>
      </c>
      <c r="M60" s="8" t="str">
        <f t="shared" si="33"/>
        <v>Elsio SP</v>
      </c>
      <c r="N60" s="8" t="str">
        <f t="shared" si="34"/>
        <v>João Marcelo MG</v>
      </c>
      <c r="O60" s="8" t="str">
        <f t="shared" si="35"/>
        <v>Elsio SP</v>
      </c>
      <c r="P60" s="8" t="str">
        <f t="shared" si="36"/>
        <v/>
      </c>
      <c r="Q60" s="8" t="str">
        <f t="shared" si="37"/>
        <v/>
      </c>
      <c r="R60" s="8" t="str">
        <f t="shared" si="38"/>
        <v>João Marcelo MG</v>
      </c>
      <c r="S60" s="8" t="str">
        <f t="shared" si="39"/>
        <v>Elsio SP</v>
      </c>
      <c r="T60" s="8">
        <f t="shared" si="40"/>
        <v>3</v>
      </c>
      <c r="U60" s="8" t="str">
        <f t="shared" si="41"/>
        <v>João Marcelo MG</v>
      </c>
      <c r="V60" s="8">
        <f t="shared" si="42"/>
        <v>2</v>
      </c>
      <c r="W60" s="8">
        <f t="shared" si="43"/>
        <v>3</v>
      </c>
    </row>
    <row r="61" spans="1:23" x14ac:dyDescent="0.25">
      <c r="A61" s="7">
        <v>7</v>
      </c>
      <c r="B61" s="18" t="str">
        <f>VLOOKUP($A61, Equipes!$A$3:$B$44, 2, FALSE)</f>
        <v>Gabriel Lisboa PA</v>
      </c>
      <c r="C61" s="17">
        <v>0</v>
      </c>
      <c r="D61" s="19" t="s">
        <v>23</v>
      </c>
      <c r="E61" s="17">
        <v>1</v>
      </c>
      <c r="F61" s="20" t="str">
        <f>VLOOKUP($G61, Equipes!$A$3:$B$44, 2, FALSE)</f>
        <v>Pablo Martins RJ</v>
      </c>
      <c r="G61" s="21">
        <v>4</v>
      </c>
      <c r="H61" s="18">
        <v>23</v>
      </c>
      <c r="I61" s="18" t="s">
        <v>24</v>
      </c>
      <c r="J61" s="18">
        <v>4</v>
      </c>
      <c r="K61" s="18"/>
      <c r="M61" s="8" t="str">
        <f t="shared" si="33"/>
        <v>Gabriel Lisboa PA</v>
      </c>
      <c r="N61" s="8" t="str">
        <f t="shared" si="34"/>
        <v>Pablo Martins RJ</v>
      </c>
      <c r="O61" s="8" t="str">
        <f t="shared" si="35"/>
        <v>Pablo Martins RJ</v>
      </c>
      <c r="P61" s="8" t="str">
        <f t="shared" si="36"/>
        <v/>
      </c>
      <c r="Q61" s="8" t="str">
        <f t="shared" si="37"/>
        <v/>
      </c>
      <c r="R61" s="8" t="str">
        <f t="shared" si="38"/>
        <v>Gabriel Lisboa PA</v>
      </c>
      <c r="S61" s="8" t="str">
        <f t="shared" si="39"/>
        <v>Gabriel Lisboa PA</v>
      </c>
      <c r="T61" s="8">
        <f t="shared" si="40"/>
        <v>0</v>
      </c>
      <c r="U61" s="8" t="str">
        <f t="shared" si="41"/>
        <v>Pablo Martins RJ</v>
      </c>
      <c r="V61" s="8">
        <f t="shared" si="42"/>
        <v>1</v>
      </c>
      <c r="W61" s="8">
        <f t="shared" si="43"/>
        <v>0</v>
      </c>
    </row>
    <row r="62" spans="1:23" x14ac:dyDescent="0.25">
      <c r="A62" s="7">
        <v>6</v>
      </c>
      <c r="B62" s="8" t="str">
        <f>VLOOKUP($A62, Equipes!$A$3:$B$44, 2, FALSE)</f>
        <v>Rogelson PR</v>
      </c>
      <c r="C62" s="17">
        <v>0</v>
      </c>
      <c r="D62" s="9" t="s">
        <v>23</v>
      </c>
      <c r="E62" s="17">
        <v>0</v>
      </c>
      <c r="F62" s="10" t="str">
        <f>VLOOKUP($G62, Equipes!$A$3:$B$44, 2, FALSE)</f>
        <v>Dudu RJ</v>
      </c>
      <c r="G62" s="7">
        <v>3</v>
      </c>
      <c r="H62" s="8">
        <v>24</v>
      </c>
      <c r="I62" s="8" t="s">
        <v>24</v>
      </c>
      <c r="J62" s="8">
        <v>4</v>
      </c>
      <c r="M62" s="8" t="str">
        <f t="shared" si="33"/>
        <v>Rogelson PR</v>
      </c>
      <c r="N62" s="8" t="str">
        <f t="shared" si="34"/>
        <v>Dudu RJ</v>
      </c>
      <c r="O62" s="8" t="str">
        <f t="shared" si="35"/>
        <v/>
      </c>
      <c r="P62" s="8" t="str">
        <f t="shared" si="36"/>
        <v>Rogelson PR</v>
      </c>
      <c r="Q62" s="8" t="str">
        <f t="shared" si="37"/>
        <v>Dudu RJ</v>
      </c>
      <c r="R62" s="8" t="str">
        <f t="shared" si="38"/>
        <v/>
      </c>
      <c r="S62" s="8" t="str">
        <f t="shared" si="39"/>
        <v>Rogelson PR</v>
      </c>
      <c r="T62" s="8">
        <f t="shared" si="40"/>
        <v>0</v>
      </c>
      <c r="U62" s="8" t="str">
        <f t="shared" si="41"/>
        <v>Dudu RJ</v>
      </c>
      <c r="V62" s="8">
        <f t="shared" si="42"/>
        <v>0</v>
      </c>
      <c r="W62" s="8">
        <f t="shared" si="43"/>
        <v>0</v>
      </c>
    </row>
    <row r="63" spans="1:23" x14ac:dyDescent="0.25">
      <c r="A63" s="7">
        <v>5</v>
      </c>
      <c r="B63" s="18" t="str">
        <f>VLOOKUP($A63, Equipes!$A$3:$B$44, 2, FALSE)</f>
        <v>Thiago Matoso RJ</v>
      </c>
      <c r="C63" s="17">
        <v>2</v>
      </c>
      <c r="D63" s="19" t="s">
        <v>23</v>
      </c>
      <c r="E63" s="17">
        <v>1</v>
      </c>
      <c r="F63" s="20" t="str">
        <f>VLOOKUP($G63, Equipes!$A$3:$B$44, 2, FALSE)</f>
        <v>Mário Bürguel RS</v>
      </c>
      <c r="G63" s="21">
        <v>2</v>
      </c>
      <c r="H63" s="18">
        <v>25</v>
      </c>
      <c r="I63" s="18" t="s">
        <v>24</v>
      </c>
      <c r="J63" s="18">
        <v>4</v>
      </c>
      <c r="K63" s="18"/>
      <c r="M63" s="8" t="str">
        <f t="shared" si="33"/>
        <v>Thiago Matoso RJ</v>
      </c>
      <c r="N63" s="8" t="str">
        <f t="shared" si="34"/>
        <v>Mário Bürguel RS</v>
      </c>
      <c r="O63" s="8" t="str">
        <f t="shared" si="35"/>
        <v>Thiago Matoso RJ</v>
      </c>
      <c r="P63" s="8" t="str">
        <f t="shared" si="36"/>
        <v/>
      </c>
      <c r="Q63" s="8" t="str">
        <f t="shared" si="37"/>
        <v/>
      </c>
      <c r="R63" s="8" t="str">
        <f t="shared" si="38"/>
        <v>Mário Bürguel RS</v>
      </c>
      <c r="S63" s="8" t="str">
        <f t="shared" si="39"/>
        <v>Thiago Matoso RJ</v>
      </c>
      <c r="T63" s="8">
        <f t="shared" si="40"/>
        <v>2</v>
      </c>
      <c r="U63" s="8" t="str">
        <f t="shared" si="41"/>
        <v>Mário Bürguel RS</v>
      </c>
      <c r="V63" s="8">
        <f t="shared" si="42"/>
        <v>1</v>
      </c>
      <c r="W63" s="8">
        <f t="shared" si="43"/>
        <v>2</v>
      </c>
    </row>
    <row r="64" spans="1:23" x14ac:dyDescent="0.25">
      <c r="A64" s="7">
        <v>14</v>
      </c>
      <c r="B64" s="8" t="str">
        <f>VLOOKUP($A64, Equipes!$A$3:$B$44, 2, FALSE)</f>
        <v>Ronaldo Eifler RS</v>
      </c>
      <c r="C64" s="17">
        <v>3</v>
      </c>
      <c r="D64" s="9" t="s">
        <v>23</v>
      </c>
      <c r="E64" s="17">
        <v>2</v>
      </c>
      <c r="F64" s="10" t="str">
        <f>VLOOKUP($G64, Equipes!$A$3:$B$44, 2, FALSE)</f>
        <v>Diogo SP</v>
      </c>
      <c r="G64" s="7">
        <v>11</v>
      </c>
      <c r="H64" s="8">
        <v>26</v>
      </c>
      <c r="I64" s="8" t="s">
        <v>25</v>
      </c>
      <c r="J64" s="8">
        <v>4</v>
      </c>
      <c r="M64" s="8" t="str">
        <f t="shared" si="33"/>
        <v>Ronaldo Eifler RS</v>
      </c>
      <c r="N64" s="8" t="str">
        <f t="shared" si="34"/>
        <v>Diogo SP</v>
      </c>
      <c r="O64" s="8" t="str">
        <f t="shared" si="35"/>
        <v>Ronaldo Eifler RS</v>
      </c>
      <c r="P64" s="8" t="str">
        <f t="shared" si="36"/>
        <v/>
      </c>
      <c r="Q64" s="8" t="str">
        <f t="shared" si="37"/>
        <v/>
      </c>
      <c r="R64" s="8" t="str">
        <f t="shared" si="38"/>
        <v>Diogo SP</v>
      </c>
      <c r="S64" s="8" t="str">
        <f t="shared" si="39"/>
        <v>Ronaldo Eifler RS</v>
      </c>
      <c r="T64" s="8">
        <f t="shared" si="40"/>
        <v>3</v>
      </c>
      <c r="U64" s="8" t="str">
        <f t="shared" si="41"/>
        <v>Diogo SP</v>
      </c>
      <c r="V64" s="8">
        <f t="shared" si="42"/>
        <v>2</v>
      </c>
      <c r="W64" s="8">
        <f t="shared" si="43"/>
        <v>3</v>
      </c>
    </row>
    <row r="65" spans="1:23" x14ac:dyDescent="0.25">
      <c r="A65" s="7">
        <v>13</v>
      </c>
      <c r="B65" s="18" t="str">
        <f>VLOOKUP($A65, Equipes!$A$3:$B$44, 2, FALSE)</f>
        <v>Eduardo Massa MG</v>
      </c>
      <c r="C65" s="17">
        <v>0</v>
      </c>
      <c r="D65" s="19" t="s">
        <v>23</v>
      </c>
      <c r="E65" s="17">
        <v>1</v>
      </c>
      <c r="F65" s="20" t="str">
        <f>VLOOKUP($G65, Equipes!$A$3:$B$44, 2, FALSE)</f>
        <v>Roberto Giolo MS</v>
      </c>
      <c r="G65" s="21">
        <v>10</v>
      </c>
      <c r="H65" s="18">
        <v>27</v>
      </c>
      <c r="I65" s="18" t="s">
        <v>25</v>
      </c>
      <c r="J65" s="18">
        <v>4</v>
      </c>
      <c r="K65" s="18"/>
      <c r="M65" s="8" t="str">
        <f t="shared" si="33"/>
        <v>Eduardo Massa MG</v>
      </c>
      <c r="N65" s="8" t="str">
        <f t="shared" si="34"/>
        <v>Roberto Giolo MS</v>
      </c>
      <c r="O65" s="8" t="str">
        <f t="shared" si="35"/>
        <v>Roberto Giolo MS</v>
      </c>
      <c r="P65" s="8" t="str">
        <f t="shared" si="36"/>
        <v/>
      </c>
      <c r="Q65" s="8" t="str">
        <f t="shared" si="37"/>
        <v/>
      </c>
      <c r="R65" s="8" t="str">
        <f t="shared" si="38"/>
        <v>Eduardo Massa MG</v>
      </c>
      <c r="S65" s="8" t="str">
        <f t="shared" si="39"/>
        <v>Eduardo Massa MG</v>
      </c>
      <c r="T65" s="8">
        <f t="shared" si="40"/>
        <v>0</v>
      </c>
      <c r="U65" s="8" t="str">
        <f t="shared" si="41"/>
        <v>Roberto Giolo MS</v>
      </c>
      <c r="V65" s="8">
        <f t="shared" si="42"/>
        <v>1</v>
      </c>
      <c r="W65" s="8">
        <f t="shared" si="43"/>
        <v>0</v>
      </c>
    </row>
    <row r="66" spans="1:23" x14ac:dyDescent="0.25">
      <c r="A66" s="7">
        <v>12</v>
      </c>
      <c r="B66" s="8" t="str">
        <f>VLOOKUP($A66, Equipes!$A$3:$B$44, 2, FALSE)</f>
        <v>Lian MG</v>
      </c>
      <c r="C66" s="17">
        <v>1</v>
      </c>
      <c r="D66" s="9" t="s">
        <v>23</v>
      </c>
      <c r="E66" s="17">
        <v>3</v>
      </c>
      <c r="F66" s="10" t="str">
        <f>VLOOKUP($G66, Equipes!$A$3:$B$44, 2, FALSE)</f>
        <v>Capela SC</v>
      </c>
      <c r="G66" s="7">
        <v>9</v>
      </c>
      <c r="H66" s="8">
        <v>28</v>
      </c>
      <c r="I66" s="8" t="s">
        <v>25</v>
      </c>
      <c r="J66" s="8">
        <v>4</v>
      </c>
      <c r="M66" s="8" t="str">
        <f t="shared" si="33"/>
        <v>Lian MG</v>
      </c>
      <c r="N66" s="8" t="str">
        <f t="shared" si="34"/>
        <v>Capela SC</v>
      </c>
      <c r="O66" s="8" t="str">
        <f t="shared" si="35"/>
        <v>Capela SC</v>
      </c>
      <c r="P66" s="8" t="str">
        <f t="shared" si="36"/>
        <v/>
      </c>
      <c r="Q66" s="8" t="str">
        <f t="shared" si="37"/>
        <v/>
      </c>
      <c r="R66" s="8" t="str">
        <f t="shared" si="38"/>
        <v>Lian MG</v>
      </c>
      <c r="S66" s="8" t="str">
        <f t="shared" si="39"/>
        <v>Lian MG</v>
      </c>
      <c r="T66" s="8">
        <f t="shared" si="40"/>
        <v>1</v>
      </c>
      <c r="U66" s="8" t="str">
        <f t="shared" si="41"/>
        <v>Capela SC</v>
      </c>
      <c r="V66" s="8">
        <f t="shared" si="42"/>
        <v>3</v>
      </c>
      <c r="W66" s="8">
        <f t="shared" si="43"/>
        <v>1</v>
      </c>
    </row>
    <row r="67" spans="1:23" x14ac:dyDescent="0.25">
      <c r="A67" s="7">
        <v>21</v>
      </c>
      <c r="B67" s="18" t="str">
        <f>VLOOKUP($A67, Equipes!$A$3:$B$44, 2, FALSE)</f>
        <v>Luiz Coelho SP</v>
      </c>
      <c r="C67" s="17">
        <v>0</v>
      </c>
      <c r="D67" s="19" t="s">
        <v>23</v>
      </c>
      <c r="E67" s="17">
        <v>3</v>
      </c>
      <c r="F67" s="20" t="str">
        <f>VLOOKUP($G67, Equipes!$A$3:$B$44, 2, FALSE)</f>
        <v>Cléo Jr SP</v>
      </c>
      <c r="G67" s="21">
        <v>18</v>
      </c>
      <c r="H67" s="18">
        <v>29</v>
      </c>
      <c r="I67" s="18" t="s">
        <v>26</v>
      </c>
      <c r="J67" s="18">
        <v>4</v>
      </c>
      <c r="K67" s="18"/>
      <c r="M67" s="8" t="str">
        <f t="shared" si="33"/>
        <v>Luiz Coelho SP</v>
      </c>
      <c r="N67" s="8" t="str">
        <f t="shared" si="34"/>
        <v>Cléo Jr SP</v>
      </c>
      <c r="O67" s="8" t="str">
        <f t="shared" si="35"/>
        <v>Cléo Jr SP</v>
      </c>
      <c r="P67" s="8" t="str">
        <f t="shared" si="36"/>
        <v/>
      </c>
      <c r="Q67" s="8" t="str">
        <f t="shared" si="37"/>
        <v/>
      </c>
      <c r="R67" s="8" t="str">
        <f t="shared" si="38"/>
        <v>Luiz Coelho SP</v>
      </c>
      <c r="S67" s="8" t="str">
        <f t="shared" si="39"/>
        <v>Luiz Coelho SP</v>
      </c>
      <c r="T67" s="8">
        <f t="shared" si="40"/>
        <v>0</v>
      </c>
      <c r="U67" s="8" t="str">
        <f t="shared" si="41"/>
        <v>Cléo Jr SP</v>
      </c>
      <c r="V67" s="8">
        <f t="shared" si="42"/>
        <v>3</v>
      </c>
      <c r="W67" s="8">
        <f t="shared" si="43"/>
        <v>0</v>
      </c>
    </row>
    <row r="68" spans="1:23" x14ac:dyDescent="0.25">
      <c r="A68" s="7">
        <v>20</v>
      </c>
      <c r="B68" s="8" t="str">
        <f>VLOOKUP($A68, Equipes!$A$3:$B$44, 2, FALSE)</f>
        <v>Justa SP</v>
      </c>
      <c r="C68" s="17">
        <v>1</v>
      </c>
      <c r="D68" s="9" t="s">
        <v>23</v>
      </c>
      <c r="E68" s="17">
        <v>3</v>
      </c>
      <c r="F68" s="10" t="str">
        <f>VLOOKUP($G68, Equipes!$A$3:$B$44, 2, FALSE)</f>
        <v>Almo PR</v>
      </c>
      <c r="G68" s="7">
        <v>17</v>
      </c>
      <c r="H68" s="8">
        <v>30</v>
      </c>
      <c r="I68" s="8" t="s">
        <v>26</v>
      </c>
      <c r="J68" s="8">
        <v>4</v>
      </c>
      <c r="M68" s="8" t="str">
        <f t="shared" si="33"/>
        <v>Justa SP</v>
      </c>
      <c r="N68" s="8" t="str">
        <f t="shared" si="34"/>
        <v>Almo PR</v>
      </c>
      <c r="O68" s="8" t="str">
        <f t="shared" si="35"/>
        <v>Almo PR</v>
      </c>
      <c r="P68" s="8" t="str">
        <f t="shared" si="36"/>
        <v/>
      </c>
      <c r="Q68" s="8" t="str">
        <f t="shared" si="37"/>
        <v/>
      </c>
      <c r="R68" s="8" t="str">
        <f t="shared" si="38"/>
        <v>Justa SP</v>
      </c>
      <c r="S68" s="8" t="str">
        <f t="shared" si="39"/>
        <v>Justa SP</v>
      </c>
      <c r="T68" s="8">
        <f t="shared" si="40"/>
        <v>1</v>
      </c>
      <c r="U68" s="8" t="str">
        <f t="shared" si="41"/>
        <v>Almo PR</v>
      </c>
      <c r="V68" s="8">
        <f t="shared" si="42"/>
        <v>3</v>
      </c>
      <c r="W68" s="8">
        <f t="shared" si="43"/>
        <v>1</v>
      </c>
    </row>
    <row r="69" spans="1:23" x14ac:dyDescent="0.25">
      <c r="A69" s="7">
        <v>19</v>
      </c>
      <c r="B69" s="18" t="str">
        <f>VLOOKUP($A69, Equipes!$A$3:$B$44, 2, FALSE)</f>
        <v>Afonso SP</v>
      </c>
      <c r="C69" s="17">
        <v>2</v>
      </c>
      <c r="D69" s="19" t="s">
        <v>23</v>
      </c>
      <c r="E69" s="17">
        <v>3</v>
      </c>
      <c r="F69" s="20" t="str">
        <f>VLOOKUP($G69, Equipes!$A$3:$B$44, 2, FALSE)</f>
        <v>Kaka RJ</v>
      </c>
      <c r="G69" s="21">
        <v>16</v>
      </c>
      <c r="H69" s="18">
        <v>31</v>
      </c>
      <c r="I69" s="18" t="s">
        <v>26</v>
      </c>
      <c r="J69" s="18">
        <v>4</v>
      </c>
      <c r="K69" s="18"/>
      <c r="M69" s="8" t="str">
        <f t="shared" si="33"/>
        <v>Afonso SP</v>
      </c>
      <c r="N69" s="8" t="str">
        <f t="shared" si="34"/>
        <v>Kaka RJ</v>
      </c>
      <c r="O69" s="8" t="str">
        <f t="shared" si="35"/>
        <v>Kaka RJ</v>
      </c>
      <c r="P69" s="8" t="str">
        <f t="shared" si="36"/>
        <v/>
      </c>
      <c r="Q69" s="8" t="str">
        <f t="shared" si="37"/>
        <v/>
      </c>
      <c r="R69" s="8" t="str">
        <f t="shared" si="38"/>
        <v>Afonso SP</v>
      </c>
      <c r="S69" s="8" t="str">
        <f t="shared" si="39"/>
        <v>Afonso SP</v>
      </c>
      <c r="T69" s="8">
        <f t="shared" si="40"/>
        <v>2</v>
      </c>
      <c r="U69" s="8" t="str">
        <f t="shared" si="41"/>
        <v>Kaka RJ</v>
      </c>
      <c r="V69" s="8">
        <f t="shared" si="42"/>
        <v>3</v>
      </c>
      <c r="W69" s="8">
        <f t="shared" si="43"/>
        <v>2</v>
      </c>
    </row>
    <row r="70" spans="1:23" x14ac:dyDescent="0.25">
      <c r="A70" s="7">
        <v>28</v>
      </c>
      <c r="B70" s="8" t="str">
        <f>VLOOKUP($A70, Equipes!$A$3:$B$44, 2, FALSE)</f>
        <v>Claudio Mastrangelo RS</v>
      </c>
      <c r="C70" s="17">
        <v>1</v>
      </c>
      <c r="D70" s="9" t="s">
        <v>23</v>
      </c>
      <c r="E70" s="17">
        <v>3</v>
      </c>
      <c r="F70" s="10" t="str">
        <f>VLOOKUP($G70, Equipes!$A$3:$B$44, 2, FALSE)</f>
        <v>Renato Souza MG</v>
      </c>
      <c r="G70" s="7">
        <v>25</v>
      </c>
      <c r="H70" s="8">
        <v>32</v>
      </c>
      <c r="I70" s="8" t="s">
        <v>18</v>
      </c>
      <c r="J70" s="8">
        <v>4</v>
      </c>
      <c r="M70" s="8" t="str">
        <f t="shared" si="33"/>
        <v>Claudio Mastrangelo RS</v>
      </c>
      <c r="N70" s="8" t="str">
        <f t="shared" si="34"/>
        <v>Renato Souza MG</v>
      </c>
      <c r="O70" s="8" t="str">
        <f t="shared" si="35"/>
        <v>Renato Souza MG</v>
      </c>
      <c r="P70" s="8" t="str">
        <f t="shared" si="36"/>
        <v/>
      </c>
      <c r="Q70" s="8" t="str">
        <f t="shared" si="37"/>
        <v/>
      </c>
      <c r="R70" s="8" t="str">
        <f t="shared" si="38"/>
        <v>Claudio Mastrangelo RS</v>
      </c>
      <c r="S70" s="8" t="str">
        <f t="shared" si="39"/>
        <v>Claudio Mastrangelo RS</v>
      </c>
      <c r="T70" s="8">
        <f t="shared" si="40"/>
        <v>1</v>
      </c>
      <c r="U70" s="8" t="str">
        <f t="shared" si="41"/>
        <v>Renato Souza MG</v>
      </c>
      <c r="V70" s="8">
        <f t="shared" si="42"/>
        <v>3</v>
      </c>
      <c r="W70" s="8">
        <f t="shared" si="43"/>
        <v>1</v>
      </c>
    </row>
    <row r="71" spans="1:23" x14ac:dyDescent="0.25">
      <c r="B71" s="12" t="s">
        <v>31</v>
      </c>
      <c r="C71" s="13"/>
      <c r="D71" s="13"/>
      <c r="E71" s="13"/>
      <c r="F71" s="14"/>
      <c r="G71" s="15"/>
      <c r="H71" s="12" t="s">
        <v>12</v>
      </c>
      <c r="I71" s="12" t="s">
        <v>13</v>
      </c>
      <c r="J71" s="12" t="s">
        <v>14</v>
      </c>
      <c r="K71" s="16">
        <f>K3 + TIME(0,80,0)</f>
        <v>44850.472222222219</v>
      </c>
      <c r="M71" s="11" t="s">
        <v>15</v>
      </c>
      <c r="N71" s="11" t="s">
        <v>15</v>
      </c>
      <c r="O71" s="11" t="s">
        <v>16</v>
      </c>
      <c r="P71" s="11" t="s">
        <v>17</v>
      </c>
      <c r="Q71" s="11" t="s">
        <v>17</v>
      </c>
      <c r="R71" s="11" t="s">
        <v>18</v>
      </c>
      <c r="S71" s="11" t="s">
        <v>19</v>
      </c>
      <c r="T71" s="11" t="s">
        <v>20</v>
      </c>
      <c r="U71" s="11" t="s">
        <v>16</v>
      </c>
      <c r="V71" s="11" t="s">
        <v>21</v>
      </c>
      <c r="W71" s="11" t="s">
        <v>22</v>
      </c>
    </row>
    <row r="72" spans="1:23" x14ac:dyDescent="0.25">
      <c r="A72" s="7">
        <v>27</v>
      </c>
      <c r="B72" s="8" t="str">
        <f>VLOOKUP($A72, Equipes!$A$3:$B$44, 2, FALSE)</f>
        <v>Tabajara SP</v>
      </c>
      <c r="C72" s="17">
        <v>4</v>
      </c>
      <c r="D72" s="9" t="s">
        <v>23</v>
      </c>
      <c r="E72" s="17">
        <v>0</v>
      </c>
      <c r="F72" s="10" t="str">
        <f>VLOOKUP($G72, Equipes!$A$3:$B$44, 2, FALSE)</f>
        <v>Marcelo Baceiredo MG</v>
      </c>
      <c r="G72" s="7">
        <v>24</v>
      </c>
      <c r="H72" s="8">
        <v>17</v>
      </c>
      <c r="I72" s="8" t="s">
        <v>18</v>
      </c>
      <c r="J72" s="8">
        <v>4</v>
      </c>
      <c r="M72" s="8" t="str">
        <f t="shared" ref="M72:M87" si="44">IF(OR(C72 = "",E72 = ""), "", B72)</f>
        <v>Tabajara SP</v>
      </c>
      <c r="N72" s="8" t="str">
        <f t="shared" ref="N72:N87" si="45">IF(OR(C72 = "",E72 = ""), "", F72)</f>
        <v>Marcelo Baceiredo MG</v>
      </c>
      <c r="O72" s="8" t="str">
        <f t="shared" ref="O72:O87" si="46">IF(C72&gt;E72,B72, IF(E72&gt;C72,F72, ""))</f>
        <v>Tabajara SP</v>
      </c>
      <c r="P72" s="8" t="str">
        <f t="shared" ref="P72:P87" si="47">IF(OR(C72 = "",E72 = ""), "", IF(C72=E72,B72, ""))</f>
        <v/>
      </c>
      <c r="Q72" s="8" t="str">
        <f t="shared" ref="Q72:Q87" si="48">IF(OR(C72 = "",E72 = ""), "", IF(C72=E72,F72, ""))</f>
        <v/>
      </c>
      <c r="R72" s="8" t="str">
        <f t="shared" ref="R72:R87" si="49">IF(C72&gt;E72,F72, IF(E72&gt;C72,B72, ""))</f>
        <v>Marcelo Baceiredo MG</v>
      </c>
      <c r="S72" s="8" t="str">
        <f t="shared" ref="S72:S87" si="50">IF(OR(C72 = "",E72 = ""), "", B72)</f>
        <v>Tabajara SP</v>
      </c>
      <c r="T72" s="8">
        <f t="shared" ref="T72:T87" si="51">IF(C72 = "", "", C72)</f>
        <v>4</v>
      </c>
      <c r="U72" s="8" t="str">
        <f t="shared" ref="U72:U87" si="52">IF(OR(C72 = "",E72 = ""), "", F72)</f>
        <v>Marcelo Baceiredo MG</v>
      </c>
      <c r="V72" s="8">
        <f t="shared" ref="V72:V87" si="53">IF(E72 = "", "", E72)</f>
        <v>0</v>
      </c>
      <c r="W72" s="8">
        <f t="shared" ref="W72:W87" si="54">IF(C72 = "", "", C72)</f>
        <v>4</v>
      </c>
    </row>
    <row r="73" spans="1:23" x14ac:dyDescent="0.25">
      <c r="A73" s="7">
        <v>26</v>
      </c>
      <c r="B73" s="18" t="str">
        <f>VLOOKUP($A73, Equipes!$A$3:$B$44, 2, FALSE)</f>
        <v>Israel RJ</v>
      </c>
      <c r="C73" s="17">
        <v>3</v>
      </c>
      <c r="D73" s="19" t="s">
        <v>23</v>
      </c>
      <c r="E73" s="17">
        <v>1</v>
      </c>
      <c r="F73" s="20" t="str">
        <f>VLOOKUP($G73, Equipes!$A$3:$B$44, 2, FALSE)</f>
        <v>Alysson RJ</v>
      </c>
      <c r="G73" s="21">
        <v>23</v>
      </c>
      <c r="H73" s="18">
        <v>18</v>
      </c>
      <c r="I73" s="18" t="s">
        <v>18</v>
      </c>
      <c r="J73" s="18">
        <v>4</v>
      </c>
      <c r="K73" s="18"/>
      <c r="M73" s="8" t="str">
        <f t="shared" si="44"/>
        <v>Israel RJ</v>
      </c>
      <c r="N73" s="8" t="str">
        <f t="shared" si="45"/>
        <v>Alysson RJ</v>
      </c>
      <c r="O73" s="8" t="str">
        <f t="shared" si="46"/>
        <v>Israel RJ</v>
      </c>
      <c r="P73" s="8" t="str">
        <f t="shared" si="47"/>
        <v/>
      </c>
      <c r="Q73" s="8" t="str">
        <f t="shared" si="48"/>
        <v/>
      </c>
      <c r="R73" s="8" t="str">
        <f t="shared" si="49"/>
        <v>Alysson RJ</v>
      </c>
      <c r="S73" s="8" t="str">
        <f t="shared" si="50"/>
        <v>Israel RJ</v>
      </c>
      <c r="T73" s="8">
        <f t="shared" si="51"/>
        <v>3</v>
      </c>
      <c r="U73" s="8" t="str">
        <f t="shared" si="52"/>
        <v>Alysson RJ</v>
      </c>
      <c r="V73" s="8">
        <f t="shared" si="53"/>
        <v>1</v>
      </c>
      <c r="W73" s="8">
        <f t="shared" si="54"/>
        <v>3</v>
      </c>
    </row>
    <row r="74" spans="1:23" x14ac:dyDescent="0.25">
      <c r="A74" s="7">
        <v>35</v>
      </c>
      <c r="B74" s="8" t="str">
        <f>VLOOKUP($A74, Equipes!$A$3:$B$44, 2, FALSE)</f>
        <v>Curvelo RJ</v>
      </c>
      <c r="C74" s="17">
        <v>1</v>
      </c>
      <c r="D74" s="9" t="s">
        <v>23</v>
      </c>
      <c r="E74" s="17">
        <v>4</v>
      </c>
      <c r="F74" s="10" t="str">
        <f>VLOOKUP($G74, Equipes!$A$3:$B$44, 2, FALSE)</f>
        <v>Vinicius Rolim RJ</v>
      </c>
      <c r="G74" s="7">
        <v>32</v>
      </c>
      <c r="H74" s="8">
        <v>19</v>
      </c>
      <c r="I74" s="8" t="s">
        <v>17</v>
      </c>
      <c r="J74" s="8">
        <v>4</v>
      </c>
      <c r="M74" s="8" t="str">
        <f t="shared" si="44"/>
        <v>Curvelo RJ</v>
      </c>
      <c r="N74" s="8" t="str">
        <f t="shared" si="45"/>
        <v>Vinicius Rolim RJ</v>
      </c>
      <c r="O74" s="8" t="str">
        <f t="shared" si="46"/>
        <v>Vinicius Rolim RJ</v>
      </c>
      <c r="P74" s="8" t="str">
        <f t="shared" si="47"/>
        <v/>
      </c>
      <c r="Q74" s="8" t="str">
        <f t="shared" si="48"/>
        <v/>
      </c>
      <c r="R74" s="8" t="str">
        <f t="shared" si="49"/>
        <v>Curvelo RJ</v>
      </c>
      <c r="S74" s="8" t="str">
        <f t="shared" si="50"/>
        <v>Curvelo RJ</v>
      </c>
      <c r="T74" s="8">
        <f t="shared" si="51"/>
        <v>1</v>
      </c>
      <c r="U74" s="8" t="str">
        <f t="shared" si="52"/>
        <v>Vinicius Rolim RJ</v>
      </c>
      <c r="V74" s="8">
        <f t="shared" si="53"/>
        <v>4</v>
      </c>
      <c r="W74" s="8">
        <f t="shared" si="54"/>
        <v>1</v>
      </c>
    </row>
    <row r="75" spans="1:23" x14ac:dyDescent="0.25">
      <c r="A75" s="7">
        <v>34</v>
      </c>
      <c r="B75" s="18" t="str">
        <f>VLOOKUP($A75, Equipes!$A$3:$B$44, 2, FALSE)</f>
        <v>Eduardo Rocha RJ</v>
      </c>
      <c r="C75" s="17">
        <v>0</v>
      </c>
      <c r="D75" s="19" t="s">
        <v>23</v>
      </c>
      <c r="E75" s="17">
        <v>2</v>
      </c>
      <c r="F75" s="20" t="str">
        <f>VLOOKUP($G75, Equipes!$A$3:$B$44, 2, FALSE)</f>
        <v>João Carlos RJ</v>
      </c>
      <c r="G75" s="21">
        <v>31</v>
      </c>
      <c r="H75" s="18">
        <v>20</v>
      </c>
      <c r="I75" s="18" t="s">
        <v>17</v>
      </c>
      <c r="J75" s="18">
        <v>4</v>
      </c>
      <c r="K75" s="18"/>
      <c r="M75" s="8" t="str">
        <f t="shared" si="44"/>
        <v>Eduardo Rocha RJ</v>
      </c>
      <c r="N75" s="8" t="str">
        <f t="shared" si="45"/>
        <v>João Carlos RJ</v>
      </c>
      <c r="O75" s="8" t="str">
        <f t="shared" si="46"/>
        <v>João Carlos RJ</v>
      </c>
      <c r="P75" s="8" t="str">
        <f t="shared" si="47"/>
        <v/>
      </c>
      <c r="Q75" s="8" t="str">
        <f t="shared" si="48"/>
        <v/>
      </c>
      <c r="R75" s="8" t="str">
        <f t="shared" si="49"/>
        <v>Eduardo Rocha RJ</v>
      </c>
      <c r="S75" s="8" t="str">
        <f t="shared" si="50"/>
        <v>Eduardo Rocha RJ</v>
      </c>
      <c r="T75" s="8">
        <f t="shared" si="51"/>
        <v>0</v>
      </c>
      <c r="U75" s="8" t="str">
        <f t="shared" si="52"/>
        <v>João Carlos RJ</v>
      </c>
      <c r="V75" s="8">
        <f t="shared" si="53"/>
        <v>2</v>
      </c>
      <c r="W75" s="8">
        <f t="shared" si="54"/>
        <v>0</v>
      </c>
    </row>
    <row r="76" spans="1:23" x14ac:dyDescent="0.25">
      <c r="A76" s="7">
        <v>33</v>
      </c>
      <c r="B76" s="8" t="str">
        <f>VLOOKUP($A76, Equipes!$A$3:$B$44, 2, FALSE)</f>
        <v>Rogério MG</v>
      </c>
      <c r="C76" s="17">
        <v>0</v>
      </c>
      <c r="D76" s="9" t="s">
        <v>23</v>
      </c>
      <c r="E76" s="17">
        <v>2</v>
      </c>
      <c r="F76" s="10" t="str">
        <f>VLOOKUP($G76, Equipes!$A$3:$B$44, 2, FALSE)</f>
        <v>André Araújo AM</v>
      </c>
      <c r="G76" s="7">
        <v>30</v>
      </c>
      <c r="H76" s="8">
        <v>21</v>
      </c>
      <c r="I76" s="8" t="s">
        <v>17</v>
      </c>
      <c r="J76" s="8">
        <v>4</v>
      </c>
      <c r="M76" s="8" t="str">
        <f t="shared" si="44"/>
        <v>Rogério MG</v>
      </c>
      <c r="N76" s="8" t="str">
        <f t="shared" si="45"/>
        <v>André Araújo AM</v>
      </c>
      <c r="O76" s="8" t="str">
        <f t="shared" si="46"/>
        <v>André Araújo AM</v>
      </c>
      <c r="P76" s="8" t="str">
        <f t="shared" si="47"/>
        <v/>
      </c>
      <c r="Q76" s="8" t="str">
        <f t="shared" si="48"/>
        <v/>
      </c>
      <c r="R76" s="8" t="str">
        <f t="shared" si="49"/>
        <v>Rogério MG</v>
      </c>
      <c r="S76" s="8" t="str">
        <f t="shared" si="50"/>
        <v>Rogério MG</v>
      </c>
      <c r="T76" s="8">
        <f t="shared" si="51"/>
        <v>0</v>
      </c>
      <c r="U76" s="8" t="str">
        <f t="shared" si="52"/>
        <v>André Araújo AM</v>
      </c>
      <c r="V76" s="8">
        <f t="shared" si="53"/>
        <v>2</v>
      </c>
      <c r="W76" s="8">
        <f t="shared" si="54"/>
        <v>0</v>
      </c>
    </row>
    <row r="77" spans="1:23" x14ac:dyDescent="0.25">
      <c r="A77" s="7">
        <v>42</v>
      </c>
      <c r="B77" s="18" t="str">
        <f>VLOOKUP($A77, Equipes!$A$3:$B$44, 2, FALSE)</f>
        <v>Bergamini SP</v>
      </c>
      <c r="C77" s="17">
        <v>1</v>
      </c>
      <c r="D77" s="19" t="s">
        <v>23</v>
      </c>
      <c r="E77" s="17">
        <v>1</v>
      </c>
      <c r="F77" s="20" t="str">
        <f>VLOOKUP($G77, Equipes!$A$3:$B$44, 2, FALSE)</f>
        <v>Vitor Luiz</v>
      </c>
      <c r="G77" s="21">
        <v>39</v>
      </c>
      <c r="H77" s="18">
        <v>22</v>
      </c>
      <c r="I77" s="18" t="s">
        <v>27</v>
      </c>
      <c r="J77" s="18">
        <v>4</v>
      </c>
      <c r="K77" s="18"/>
      <c r="M77" s="8" t="str">
        <f t="shared" si="44"/>
        <v>Bergamini SP</v>
      </c>
      <c r="N77" s="8" t="str">
        <f t="shared" si="45"/>
        <v>Vitor Luiz</v>
      </c>
      <c r="O77" s="8" t="str">
        <f t="shared" si="46"/>
        <v/>
      </c>
      <c r="P77" s="8" t="str">
        <f t="shared" si="47"/>
        <v>Bergamini SP</v>
      </c>
      <c r="Q77" s="8" t="str">
        <f t="shared" si="48"/>
        <v>Vitor Luiz</v>
      </c>
      <c r="R77" s="8" t="str">
        <f t="shared" si="49"/>
        <v/>
      </c>
      <c r="S77" s="8" t="str">
        <f t="shared" si="50"/>
        <v>Bergamini SP</v>
      </c>
      <c r="T77" s="8">
        <f t="shared" si="51"/>
        <v>1</v>
      </c>
      <c r="U77" s="8" t="str">
        <f t="shared" si="52"/>
        <v>Vitor Luiz</v>
      </c>
      <c r="V77" s="8">
        <f t="shared" si="53"/>
        <v>1</v>
      </c>
      <c r="W77" s="8">
        <f t="shared" si="54"/>
        <v>1</v>
      </c>
    </row>
    <row r="78" spans="1:23" x14ac:dyDescent="0.25">
      <c r="A78" s="7">
        <v>41</v>
      </c>
      <c r="B78" s="8" t="str">
        <f>VLOOKUP($A78, Equipes!$A$3:$B$44, 2, FALSE)</f>
        <v>Tavares RJ</v>
      </c>
      <c r="C78" s="17">
        <v>5</v>
      </c>
      <c r="D78" s="9" t="s">
        <v>23</v>
      </c>
      <c r="E78" s="17">
        <v>1</v>
      </c>
      <c r="F78" s="10" t="str">
        <f>VLOOKUP($G78, Equipes!$A$3:$B$44, 2, FALSE)</f>
        <v>João Marcelo MG</v>
      </c>
      <c r="G78" s="7">
        <v>38</v>
      </c>
      <c r="H78" s="8">
        <v>23</v>
      </c>
      <c r="I78" s="8" t="s">
        <v>27</v>
      </c>
      <c r="J78" s="8">
        <v>4</v>
      </c>
      <c r="M78" s="8" t="str">
        <f t="shared" si="44"/>
        <v>Tavares RJ</v>
      </c>
      <c r="N78" s="8" t="str">
        <f t="shared" si="45"/>
        <v>João Marcelo MG</v>
      </c>
      <c r="O78" s="8" t="str">
        <f t="shared" si="46"/>
        <v>Tavares RJ</v>
      </c>
      <c r="P78" s="8" t="str">
        <f t="shared" si="47"/>
        <v/>
      </c>
      <c r="Q78" s="8" t="str">
        <f t="shared" si="48"/>
        <v/>
      </c>
      <c r="R78" s="8" t="str">
        <f t="shared" si="49"/>
        <v>João Marcelo MG</v>
      </c>
      <c r="S78" s="8" t="str">
        <f t="shared" si="50"/>
        <v>Tavares RJ</v>
      </c>
      <c r="T78" s="8">
        <f t="shared" si="51"/>
        <v>5</v>
      </c>
      <c r="U78" s="8" t="str">
        <f t="shared" si="52"/>
        <v>João Marcelo MG</v>
      </c>
      <c r="V78" s="8">
        <f t="shared" si="53"/>
        <v>1</v>
      </c>
      <c r="W78" s="8">
        <f t="shared" si="54"/>
        <v>5</v>
      </c>
    </row>
    <row r="79" spans="1:23" x14ac:dyDescent="0.25">
      <c r="A79" s="7">
        <v>40</v>
      </c>
      <c r="B79" s="18" t="str">
        <f>VLOOKUP($A79, Equipes!$A$3:$B$44, 2, FALSE)</f>
        <v>Marcelo Aranha SP</v>
      </c>
      <c r="C79" s="17">
        <v>1</v>
      </c>
      <c r="D79" s="19" t="s">
        <v>23</v>
      </c>
      <c r="E79" s="17">
        <v>2</v>
      </c>
      <c r="F79" s="20" t="str">
        <f>VLOOKUP($G79, Equipes!$A$3:$B$44, 2, FALSE)</f>
        <v>Elsio SP</v>
      </c>
      <c r="G79" s="21">
        <v>37</v>
      </c>
      <c r="H79" s="18">
        <v>24</v>
      </c>
      <c r="I79" s="18" t="s">
        <v>27</v>
      </c>
      <c r="J79" s="18">
        <v>4</v>
      </c>
      <c r="K79" s="18"/>
      <c r="M79" s="8" t="str">
        <f t="shared" si="44"/>
        <v>Marcelo Aranha SP</v>
      </c>
      <c r="N79" s="8" t="str">
        <f t="shared" si="45"/>
        <v>Elsio SP</v>
      </c>
      <c r="O79" s="8" t="str">
        <f t="shared" si="46"/>
        <v>Elsio SP</v>
      </c>
      <c r="P79" s="8" t="str">
        <f t="shared" si="47"/>
        <v/>
      </c>
      <c r="Q79" s="8" t="str">
        <f t="shared" si="48"/>
        <v/>
      </c>
      <c r="R79" s="8" t="str">
        <f t="shared" si="49"/>
        <v>Marcelo Aranha SP</v>
      </c>
      <c r="S79" s="8" t="str">
        <f t="shared" si="50"/>
        <v>Marcelo Aranha SP</v>
      </c>
      <c r="T79" s="8">
        <f t="shared" si="51"/>
        <v>1</v>
      </c>
      <c r="U79" s="8" t="str">
        <f t="shared" si="52"/>
        <v>Elsio SP</v>
      </c>
      <c r="V79" s="8">
        <f t="shared" si="53"/>
        <v>2</v>
      </c>
      <c r="W79" s="8">
        <f t="shared" si="54"/>
        <v>1</v>
      </c>
    </row>
    <row r="80" spans="1:23" x14ac:dyDescent="0.25">
      <c r="A80" s="7">
        <v>1</v>
      </c>
      <c r="B80" s="8" t="str">
        <f>VLOOKUP($A80, Equipes!$A$3:$B$44, 2, FALSE)</f>
        <v>Gabriel RJ</v>
      </c>
      <c r="C80" s="17">
        <v>3</v>
      </c>
      <c r="D80" s="9" t="s">
        <v>23</v>
      </c>
      <c r="E80" s="17">
        <v>1</v>
      </c>
      <c r="F80" s="10" t="str">
        <f>VLOOKUP($G80, Equipes!$A$3:$B$44, 2, FALSE)</f>
        <v>Pablo Martins RJ</v>
      </c>
      <c r="G80" s="7">
        <v>4</v>
      </c>
      <c r="H80" s="8">
        <v>25</v>
      </c>
      <c r="I80" s="8" t="s">
        <v>24</v>
      </c>
      <c r="J80" s="8">
        <v>5</v>
      </c>
      <c r="M80" s="8" t="str">
        <f t="shared" si="44"/>
        <v>Gabriel RJ</v>
      </c>
      <c r="N80" s="8" t="str">
        <f t="shared" si="45"/>
        <v>Pablo Martins RJ</v>
      </c>
      <c r="O80" s="8" t="str">
        <f t="shared" si="46"/>
        <v>Gabriel RJ</v>
      </c>
      <c r="P80" s="8" t="str">
        <f t="shared" si="47"/>
        <v/>
      </c>
      <c r="Q80" s="8" t="str">
        <f t="shared" si="48"/>
        <v/>
      </c>
      <c r="R80" s="8" t="str">
        <f t="shared" si="49"/>
        <v>Pablo Martins RJ</v>
      </c>
      <c r="S80" s="8" t="str">
        <f t="shared" si="50"/>
        <v>Gabriel RJ</v>
      </c>
      <c r="T80" s="8">
        <f t="shared" si="51"/>
        <v>3</v>
      </c>
      <c r="U80" s="8" t="str">
        <f t="shared" si="52"/>
        <v>Pablo Martins RJ</v>
      </c>
      <c r="V80" s="8">
        <f t="shared" si="53"/>
        <v>1</v>
      </c>
      <c r="W80" s="8">
        <f t="shared" si="54"/>
        <v>3</v>
      </c>
    </row>
    <row r="81" spans="1:23" x14ac:dyDescent="0.25">
      <c r="A81" s="7">
        <v>7</v>
      </c>
      <c r="B81" s="18" t="str">
        <f>VLOOKUP($A81, Equipes!$A$3:$B$44, 2, FALSE)</f>
        <v>Gabriel Lisboa PA</v>
      </c>
      <c r="C81" s="17">
        <v>6</v>
      </c>
      <c r="D81" s="19" t="s">
        <v>23</v>
      </c>
      <c r="E81" s="17">
        <v>1</v>
      </c>
      <c r="F81" s="20" t="str">
        <f>VLOOKUP($G81, Equipes!$A$3:$B$44, 2, FALSE)</f>
        <v>Mário Bürguel RS</v>
      </c>
      <c r="G81" s="21">
        <v>2</v>
      </c>
      <c r="H81" s="18">
        <v>26</v>
      </c>
      <c r="I81" s="18" t="s">
        <v>24</v>
      </c>
      <c r="J81" s="18">
        <v>5</v>
      </c>
      <c r="K81" s="18"/>
      <c r="M81" s="8" t="str">
        <f t="shared" si="44"/>
        <v>Gabriel Lisboa PA</v>
      </c>
      <c r="N81" s="8" t="str">
        <f t="shared" si="45"/>
        <v>Mário Bürguel RS</v>
      </c>
      <c r="O81" s="8" t="str">
        <f t="shared" si="46"/>
        <v>Gabriel Lisboa PA</v>
      </c>
      <c r="P81" s="8" t="str">
        <f t="shared" si="47"/>
        <v/>
      </c>
      <c r="Q81" s="8" t="str">
        <f t="shared" si="48"/>
        <v/>
      </c>
      <c r="R81" s="8" t="str">
        <f t="shared" si="49"/>
        <v>Mário Bürguel RS</v>
      </c>
      <c r="S81" s="8" t="str">
        <f t="shared" si="50"/>
        <v>Gabriel Lisboa PA</v>
      </c>
      <c r="T81" s="8">
        <f t="shared" si="51"/>
        <v>6</v>
      </c>
      <c r="U81" s="8" t="str">
        <f t="shared" si="52"/>
        <v>Mário Bürguel RS</v>
      </c>
      <c r="V81" s="8">
        <f t="shared" si="53"/>
        <v>1</v>
      </c>
      <c r="W81" s="8">
        <f t="shared" si="54"/>
        <v>6</v>
      </c>
    </row>
    <row r="82" spans="1:23" x14ac:dyDescent="0.25">
      <c r="A82" s="7">
        <v>6</v>
      </c>
      <c r="B82" s="8" t="str">
        <f>VLOOKUP($A82, Equipes!$A$3:$B$44, 2, FALSE)</f>
        <v>Rogelson PR</v>
      </c>
      <c r="C82" s="17">
        <v>1</v>
      </c>
      <c r="D82" s="9" t="s">
        <v>23</v>
      </c>
      <c r="E82" s="17">
        <v>2</v>
      </c>
      <c r="F82" s="10" t="str">
        <f>VLOOKUP($G82, Equipes!$A$3:$B$44, 2, FALSE)</f>
        <v>Thiago Matoso RJ</v>
      </c>
      <c r="G82" s="7">
        <v>5</v>
      </c>
      <c r="H82" s="8">
        <v>27</v>
      </c>
      <c r="I82" s="8" t="s">
        <v>24</v>
      </c>
      <c r="J82" s="8">
        <v>5</v>
      </c>
      <c r="M82" s="8" t="str">
        <f t="shared" si="44"/>
        <v>Rogelson PR</v>
      </c>
      <c r="N82" s="8" t="str">
        <f t="shared" si="45"/>
        <v>Thiago Matoso RJ</v>
      </c>
      <c r="O82" s="8" t="str">
        <f t="shared" si="46"/>
        <v>Thiago Matoso RJ</v>
      </c>
      <c r="P82" s="8" t="str">
        <f t="shared" si="47"/>
        <v/>
      </c>
      <c r="Q82" s="8" t="str">
        <f t="shared" si="48"/>
        <v/>
      </c>
      <c r="R82" s="8" t="str">
        <f t="shared" si="49"/>
        <v>Rogelson PR</v>
      </c>
      <c r="S82" s="8" t="str">
        <f t="shared" si="50"/>
        <v>Rogelson PR</v>
      </c>
      <c r="T82" s="8">
        <f t="shared" si="51"/>
        <v>1</v>
      </c>
      <c r="U82" s="8" t="str">
        <f t="shared" si="52"/>
        <v>Thiago Matoso RJ</v>
      </c>
      <c r="V82" s="8">
        <f t="shared" si="53"/>
        <v>2</v>
      </c>
      <c r="W82" s="8">
        <f t="shared" si="54"/>
        <v>1</v>
      </c>
    </row>
    <row r="83" spans="1:23" x14ac:dyDescent="0.25">
      <c r="A83" s="7">
        <v>8</v>
      </c>
      <c r="B83" s="18" t="str">
        <f>VLOOKUP($A83, Equipes!$A$3:$B$44, 2, FALSE)</f>
        <v>Marcelinho RJ</v>
      </c>
      <c r="C83" s="17">
        <v>0</v>
      </c>
      <c r="D83" s="19" t="s">
        <v>23</v>
      </c>
      <c r="E83" s="17">
        <v>1</v>
      </c>
      <c r="F83" s="20" t="str">
        <f>VLOOKUP($G83, Equipes!$A$3:$B$44, 2, FALSE)</f>
        <v>Diogo SP</v>
      </c>
      <c r="G83" s="21">
        <v>11</v>
      </c>
      <c r="H83" s="18">
        <v>28</v>
      </c>
      <c r="I83" s="18" t="s">
        <v>25</v>
      </c>
      <c r="J83" s="18">
        <v>5</v>
      </c>
      <c r="K83" s="18"/>
      <c r="M83" s="8" t="str">
        <f t="shared" si="44"/>
        <v>Marcelinho RJ</v>
      </c>
      <c r="N83" s="8" t="str">
        <f t="shared" si="45"/>
        <v>Diogo SP</v>
      </c>
      <c r="O83" s="8" t="str">
        <f t="shared" si="46"/>
        <v>Diogo SP</v>
      </c>
      <c r="P83" s="8" t="str">
        <f t="shared" si="47"/>
        <v/>
      </c>
      <c r="Q83" s="8" t="str">
        <f t="shared" si="48"/>
        <v/>
      </c>
      <c r="R83" s="8" t="str">
        <f t="shared" si="49"/>
        <v>Marcelinho RJ</v>
      </c>
      <c r="S83" s="8" t="str">
        <f t="shared" si="50"/>
        <v>Marcelinho RJ</v>
      </c>
      <c r="T83" s="8">
        <f t="shared" si="51"/>
        <v>0</v>
      </c>
      <c r="U83" s="8" t="str">
        <f t="shared" si="52"/>
        <v>Diogo SP</v>
      </c>
      <c r="V83" s="8">
        <f t="shared" si="53"/>
        <v>1</v>
      </c>
      <c r="W83" s="8">
        <f t="shared" si="54"/>
        <v>0</v>
      </c>
    </row>
    <row r="84" spans="1:23" x14ac:dyDescent="0.25">
      <c r="A84" s="7">
        <v>14</v>
      </c>
      <c r="B84" s="8" t="str">
        <f>VLOOKUP($A84, Equipes!$A$3:$B$44, 2, FALSE)</f>
        <v>Ronaldo Eifler RS</v>
      </c>
      <c r="C84" s="17">
        <v>2</v>
      </c>
      <c r="D84" s="9" t="s">
        <v>23</v>
      </c>
      <c r="E84" s="17">
        <v>1</v>
      </c>
      <c r="F84" s="10" t="str">
        <f>VLOOKUP($G84, Equipes!$A$3:$B$44, 2, FALSE)</f>
        <v>Capela SC</v>
      </c>
      <c r="G84" s="7">
        <v>9</v>
      </c>
      <c r="H84" s="8">
        <v>29</v>
      </c>
      <c r="I84" s="8" t="s">
        <v>25</v>
      </c>
      <c r="J84" s="8">
        <v>5</v>
      </c>
      <c r="M84" s="8" t="str">
        <f t="shared" si="44"/>
        <v>Ronaldo Eifler RS</v>
      </c>
      <c r="N84" s="8" t="str">
        <f t="shared" si="45"/>
        <v>Capela SC</v>
      </c>
      <c r="O84" s="8" t="str">
        <f t="shared" si="46"/>
        <v>Ronaldo Eifler RS</v>
      </c>
      <c r="P84" s="8" t="str">
        <f t="shared" si="47"/>
        <v/>
      </c>
      <c r="Q84" s="8" t="str">
        <f t="shared" si="48"/>
        <v/>
      </c>
      <c r="R84" s="8" t="str">
        <f t="shared" si="49"/>
        <v>Capela SC</v>
      </c>
      <c r="S84" s="8" t="str">
        <f t="shared" si="50"/>
        <v>Ronaldo Eifler RS</v>
      </c>
      <c r="T84" s="8">
        <f t="shared" si="51"/>
        <v>2</v>
      </c>
      <c r="U84" s="8" t="str">
        <f t="shared" si="52"/>
        <v>Capela SC</v>
      </c>
      <c r="V84" s="8">
        <f t="shared" si="53"/>
        <v>1</v>
      </c>
      <c r="W84" s="8">
        <f t="shared" si="54"/>
        <v>2</v>
      </c>
    </row>
    <row r="85" spans="1:23" x14ac:dyDescent="0.25">
      <c r="A85" s="7">
        <v>13</v>
      </c>
      <c r="B85" s="18" t="str">
        <f>VLOOKUP($A85, Equipes!$A$3:$B$44, 2, FALSE)</f>
        <v>Eduardo Massa MG</v>
      </c>
      <c r="C85" s="17">
        <v>3</v>
      </c>
      <c r="D85" s="19" t="s">
        <v>23</v>
      </c>
      <c r="E85" s="17">
        <v>3</v>
      </c>
      <c r="F85" s="20" t="str">
        <f>VLOOKUP($G85, Equipes!$A$3:$B$44, 2, FALSE)</f>
        <v>Lian MG</v>
      </c>
      <c r="G85" s="21">
        <v>12</v>
      </c>
      <c r="H85" s="18">
        <v>30</v>
      </c>
      <c r="I85" s="18" t="s">
        <v>25</v>
      </c>
      <c r="J85" s="18">
        <v>5</v>
      </c>
      <c r="K85" s="18"/>
      <c r="M85" s="8" t="str">
        <f t="shared" si="44"/>
        <v>Eduardo Massa MG</v>
      </c>
      <c r="N85" s="8" t="str">
        <f t="shared" si="45"/>
        <v>Lian MG</v>
      </c>
      <c r="O85" s="8" t="str">
        <f t="shared" si="46"/>
        <v/>
      </c>
      <c r="P85" s="8" t="str">
        <f t="shared" si="47"/>
        <v>Eduardo Massa MG</v>
      </c>
      <c r="Q85" s="8" t="str">
        <f t="shared" si="48"/>
        <v>Lian MG</v>
      </c>
      <c r="R85" s="8" t="str">
        <f t="shared" si="49"/>
        <v/>
      </c>
      <c r="S85" s="8" t="str">
        <f t="shared" si="50"/>
        <v>Eduardo Massa MG</v>
      </c>
      <c r="T85" s="8">
        <f t="shared" si="51"/>
        <v>3</v>
      </c>
      <c r="U85" s="8" t="str">
        <f t="shared" si="52"/>
        <v>Lian MG</v>
      </c>
      <c r="V85" s="8">
        <f t="shared" si="53"/>
        <v>3</v>
      </c>
      <c r="W85" s="8">
        <f t="shared" si="54"/>
        <v>3</v>
      </c>
    </row>
    <row r="86" spans="1:23" x14ac:dyDescent="0.25">
      <c r="A86" s="7">
        <v>15</v>
      </c>
      <c r="B86" s="8" t="str">
        <f>VLOOKUP($A86, Equipes!$A$3:$B$44, 2, FALSE)</f>
        <v>Claudio Jr MG</v>
      </c>
      <c r="C86" s="17">
        <v>5</v>
      </c>
      <c r="D86" s="9" t="s">
        <v>23</v>
      </c>
      <c r="E86" s="17">
        <v>1</v>
      </c>
      <c r="F86" s="10" t="str">
        <f>VLOOKUP($G86, Equipes!$A$3:$B$44, 2, FALSE)</f>
        <v>Cléo Jr SP</v>
      </c>
      <c r="G86" s="7">
        <v>18</v>
      </c>
      <c r="H86" s="8">
        <v>31</v>
      </c>
      <c r="I86" s="8" t="s">
        <v>26</v>
      </c>
      <c r="J86" s="8">
        <v>5</v>
      </c>
      <c r="M86" s="8" t="str">
        <f t="shared" si="44"/>
        <v>Claudio Jr MG</v>
      </c>
      <c r="N86" s="8" t="str">
        <f t="shared" si="45"/>
        <v>Cléo Jr SP</v>
      </c>
      <c r="O86" s="8" t="str">
        <f t="shared" si="46"/>
        <v>Claudio Jr MG</v>
      </c>
      <c r="P86" s="8" t="str">
        <f t="shared" si="47"/>
        <v/>
      </c>
      <c r="Q86" s="8" t="str">
        <f t="shared" si="48"/>
        <v/>
      </c>
      <c r="R86" s="8" t="str">
        <f t="shared" si="49"/>
        <v>Cléo Jr SP</v>
      </c>
      <c r="S86" s="8" t="str">
        <f t="shared" si="50"/>
        <v>Claudio Jr MG</v>
      </c>
      <c r="T86" s="8">
        <f t="shared" si="51"/>
        <v>5</v>
      </c>
      <c r="U86" s="8" t="str">
        <f t="shared" si="52"/>
        <v>Cléo Jr SP</v>
      </c>
      <c r="V86" s="8">
        <f t="shared" si="53"/>
        <v>1</v>
      </c>
      <c r="W86" s="8">
        <f t="shared" si="54"/>
        <v>5</v>
      </c>
    </row>
    <row r="87" spans="1:23" x14ac:dyDescent="0.25">
      <c r="A87" s="7">
        <v>21</v>
      </c>
      <c r="B87" s="18" t="str">
        <f>VLOOKUP($A87, Equipes!$A$3:$B$44, 2, FALSE)</f>
        <v>Luiz Coelho SP</v>
      </c>
      <c r="C87" s="17">
        <v>0</v>
      </c>
      <c r="D87" s="19" t="s">
        <v>23</v>
      </c>
      <c r="E87" s="17">
        <v>1</v>
      </c>
      <c r="F87" s="20" t="str">
        <f>VLOOKUP($G87, Equipes!$A$3:$B$44, 2, FALSE)</f>
        <v>Kaka RJ</v>
      </c>
      <c r="G87" s="21">
        <v>16</v>
      </c>
      <c r="H87" s="18">
        <v>32</v>
      </c>
      <c r="I87" s="18" t="s">
        <v>26</v>
      </c>
      <c r="J87" s="18">
        <v>5</v>
      </c>
      <c r="K87" s="18"/>
      <c r="M87" s="8" t="str">
        <f t="shared" si="44"/>
        <v>Luiz Coelho SP</v>
      </c>
      <c r="N87" s="8" t="str">
        <f t="shared" si="45"/>
        <v>Kaka RJ</v>
      </c>
      <c r="O87" s="8" t="str">
        <f t="shared" si="46"/>
        <v>Kaka RJ</v>
      </c>
      <c r="P87" s="8" t="str">
        <f t="shared" si="47"/>
        <v/>
      </c>
      <c r="Q87" s="8" t="str">
        <f t="shared" si="48"/>
        <v/>
      </c>
      <c r="R87" s="8" t="str">
        <f t="shared" si="49"/>
        <v>Luiz Coelho SP</v>
      </c>
      <c r="S87" s="8" t="str">
        <f t="shared" si="50"/>
        <v>Luiz Coelho SP</v>
      </c>
      <c r="T87" s="8">
        <f t="shared" si="51"/>
        <v>0</v>
      </c>
      <c r="U87" s="8" t="str">
        <f t="shared" si="52"/>
        <v>Kaka RJ</v>
      </c>
      <c r="V87" s="8">
        <f t="shared" si="53"/>
        <v>1</v>
      </c>
      <c r="W87" s="8">
        <f t="shared" si="54"/>
        <v>0</v>
      </c>
    </row>
    <row r="88" spans="1:23" x14ac:dyDescent="0.25">
      <c r="B88" s="12" t="s">
        <v>32</v>
      </c>
      <c r="C88" s="13"/>
      <c r="D88" s="13"/>
      <c r="E88" s="13"/>
      <c r="F88" s="14"/>
      <c r="G88" s="15"/>
      <c r="H88" s="12" t="s">
        <v>12</v>
      </c>
      <c r="I88" s="12" t="s">
        <v>13</v>
      </c>
      <c r="J88" s="12" t="s">
        <v>14</v>
      </c>
      <c r="K88" s="16">
        <f>K3 + TIME(0,100,0)</f>
        <v>44850.486111111109</v>
      </c>
      <c r="M88" s="11" t="s">
        <v>15</v>
      </c>
      <c r="N88" s="11" t="s">
        <v>15</v>
      </c>
      <c r="O88" s="11" t="s">
        <v>16</v>
      </c>
      <c r="P88" s="11" t="s">
        <v>17</v>
      </c>
      <c r="Q88" s="11" t="s">
        <v>17</v>
      </c>
      <c r="R88" s="11" t="s">
        <v>18</v>
      </c>
      <c r="S88" s="11" t="s">
        <v>19</v>
      </c>
      <c r="T88" s="11" t="s">
        <v>20</v>
      </c>
      <c r="U88" s="11" t="s">
        <v>16</v>
      </c>
      <c r="V88" s="11" t="s">
        <v>21</v>
      </c>
      <c r="W88" s="11" t="s">
        <v>22</v>
      </c>
    </row>
    <row r="89" spans="1:23" x14ac:dyDescent="0.25">
      <c r="A89" s="7">
        <v>20</v>
      </c>
      <c r="B89" s="18" t="str">
        <f>VLOOKUP($A89, Equipes!$A$3:$B$44, 2, FALSE)</f>
        <v>Justa SP</v>
      </c>
      <c r="C89" s="17">
        <v>1</v>
      </c>
      <c r="D89" s="19" t="s">
        <v>23</v>
      </c>
      <c r="E89" s="17">
        <v>2</v>
      </c>
      <c r="F89" s="20" t="str">
        <f>VLOOKUP($G89, Equipes!$A$3:$B$44, 2, FALSE)</f>
        <v>Afonso SP</v>
      </c>
      <c r="G89" s="21">
        <v>19</v>
      </c>
      <c r="H89" s="18">
        <v>17</v>
      </c>
      <c r="I89" s="18" t="s">
        <v>26</v>
      </c>
      <c r="J89" s="18">
        <v>5</v>
      </c>
      <c r="K89" s="18"/>
      <c r="M89" s="8" t="str">
        <f t="shared" ref="M89:M104" si="55">IF(OR(C89 = "",E89 = ""), "", B89)</f>
        <v>Justa SP</v>
      </c>
      <c r="N89" s="8" t="str">
        <f t="shared" ref="N89:N104" si="56">IF(OR(C89 = "",E89 = ""), "", F89)</f>
        <v>Afonso SP</v>
      </c>
      <c r="O89" s="8" t="str">
        <f t="shared" ref="O89:O104" si="57">IF(C89&gt;E89,B89, IF(E89&gt;C89,F89, ""))</f>
        <v>Afonso SP</v>
      </c>
      <c r="P89" s="8" t="str">
        <f t="shared" ref="P89:P104" si="58">IF(OR(C89 = "",E89 = ""), "", IF(C89=E89,B89, ""))</f>
        <v/>
      </c>
      <c r="Q89" s="8" t="str">
        <f t="shared" ref="Q89:Q104" si="59">IF(OR(C89 = "",E89 = ""), "", IF(C89=E89,F89, ""))</f>
        <v/>
      </c>
      <c r="R89" s="8" t="str">
        <f t="shared" ref="R89:R104" si="60">IF(C89&gt;E89,F89, IF(E89&gt;C89,B89, ""))</f>
        <v>Justa SP</v>
      </c>
      <c r="S89" s="8" t="str">
        <f t="shared" ref="S89:S104" si="61">IF(OR(C89 = "",E89 = ""), "", B89)</f>
        <v>Justa SP</v>
      </c>
      <c r="T89" s="8">
        <f t="shared" ref="T89:T104" si="62">IF(C89 = "", "", C89)</f>
        <v>1</v>
      </c>
      <c r="U89" s="8" t="str">
        <f t="shared" ref="U89:U104" si="63">IF(OR(C89 = "",E89 = ""), "", F89)</f>
        <v>Afonso SP</v>
      </c>
      <c r="V89" s="8">
        <f t="shared" ref="V89:V104" si="64">IF(E89 = "", "", E89)</f>
        <v>2</v>
      </c>
      <c r="W89" s="8">
        <f t="shared" ref="W89:W104" si="65">IF(C89 = "", "", C89)</f>
        <v>1</v>
      </c>
    </row>
    <row r="90" spans="1:23" x14ac:dyDescent="0.25">
      <c r="A90" s="7">
        <v>22</v>
      </c>
      <c r="B90" s="8" t="str">
        <f>VLOOKUP($A90, Equipes!$A$3:$B$44, 2, FALSE)</f>
        <v>João Paulo MG</v>
      </c>
      <c r="C90" s="17">
        <v>1</v>
      </c>
      <c r="D90" s="9" t="s">
        <v>23</v>
      </c>
      <c r="E90" s="17">
        <v>2</v>
      </c>
      <c r="F90" s="10" t="str">
        <f>VLOOKUP($G90, Equipes!$A$3:$B$44, 2, FALSE)</f>
        <v>Renato Souza MG</v>
      </c>
      <c r="G90" s="7">
        <v>25</v>
      </c>
      <c r="H90" s="8">
        <v>18</v>
      </c>
      <c r="I90" s="8" t="s">
        <v>18</v>
      </c>
      <c r="J90" s="8">
        <v>5</v>
      </c>
      <c r="M90" s="8" t="str">
        <f t="shared" si="55"/>
        <v>João Paulo MG</v>
      </c>
      <c r="N90" s="8" t="str">
        <f t="shared" si="56"/>
        <v>Renato Souza MG</v>
      </c>
      <c r="O90" s="8" t="str">
        <f t="shared" si="57"/>
        <v>Renato Souza MG</v>
      </c>
      <c r="P90" s="8" t="str">
        <f t="shared" si="58"/>
        <v/>
      </c>
      <c r="Q90" s="8" t="str">
        <f t="shared" si="59"/>
        <v/>
      </c>
      <c r="R90" s="8" t="str">
        <f t="shared" si="60"/>
        <v>João Paulo MG</v>
      </c>
      <c r="S90" s="8" t="str">
        <f t="shared" si="61"/>
        <v>João Paulo MG</v>
      </c>
      <c r="T90" s="8">
        <f t="shared" si="62"/>
        <v>1</v>
      </c>
      <c r="U90" s="8" t="str">
        <f t="shared" si="63"/>
        <v>Renato Souza MG</v>
      </c>
      <c r="V90" s="8">
        <f t="shared" si="64"/>
        <v>2</v>
      </c>
      <c r="W90" s="8">
        <f t="shared" si="65"/>
        <v>1</v>
      </c>
    </row>
    <row r="91" spans="1:23" x14ac:dyDescent="0.25">
      <c r="A91" s="7">
        <v>28</v>
      </c>
      <c r="B91" s="18" t="str">
        <f>VLOOKUP($A91, Equipes!$A$3:$B$44, 2, FALSE)</f>
        <v>Claudio Mastrangelo RS</v>
      </c>
      <c r="C91" s="17">
        <v>1</v>
      </c>
      <c r="D91" s="19" t="s">
        <v>23</v>
      </c>
      <c r="E91" s="17">
        <v>1</v>
      </c>
      <c r="F91" s="20" t="str">
        <f>VLOOKUP($G91, Equipes!$A$3:$B$44, 2, FALSE)</f>
        <v>Alysson RJ</v>
      </c>
      <c r="G91" s="21">
        <v>23</v>
      </c>
      <c r="H91" s="18">
        <v>19</v>
      </c>
      <c r="I91" s="18" t="s">
        <v>18</v>
      </c>
      <c r="J91" s="18">
        <v>5</v>
      </c>
      <c r="K91" s="18"/>
      <c r="M91" s="8" t="str">
        <f t="shared" si="55"/>
        <v>Claudio Mastrangelo RS</v>
      </c>
      <c r="N91" s="8" t="str">
        <f t="shared" si="56"/>
        <v>Alysson RJ</v>
      </c>
      <c r="O91" s="8" t="str">
        <f t="shared" si="57"/>
        <v/>
      </c>
      <c r="P91" s="8" t="str">
        <f t="shared" si="58"/>
        <v>Claudio Mastrangelo RS</v>
      </c>
      <c r="Q91" s="8" t="str">
        <f t="shared" si="59"/>
        <v>Alysson RJ</v>
      </c>
      <c r="R91" s="8" t="str">
        <f t="shared" si="60"/>
        <v/>
      </c>
      <c r="S91" s="8" t="str">
        <f t="shared" si="61"/>
        <v>Claudio Mastrangelo RS</v>
      </c>
      <c r="T91" s="8">
        <f t="shared" si="62"/>
        <v>1</v>
      </c>
      <c r="U91" s="8" t="str">
        <f t="shared" si="63"/>
        <v>Alysson RJ</v>
      </c>
      <c r="V91" s="8">
        <f t="shared" si="64"/>
        <v>1</v>
      </c>
      <c r="W91" s="8">
        <f t="shared" si="65"/>
        <v>1</v>
      </c>
    </row>
    <row r="92" spans="1:23" x14ac:dyDescent="0.25">
      <c r="A92" s="7">
        <v>27</v>
      </c>
      <c r="B92" s="8" t="str">
        <f>VLOOKUP($A92, Equipes!$A$3:$B$44, 2, FALSE)</f>
        <v>Tabajara SP</v>
      </c>
      <c r="C92" s="17">
        <v>3</v>
      </c>
      <c r="D92" s="9" t="s">
        <v>23</v>
      </c>
      <c r="E92" s="17">
        <v>2</v>
      </c>
      <c r="F92" s="10" t="str">
        <f>VLOOKUP($G92, Equipes!$A$3:$B$44, 2, FALSE)</f>
        <v>Israel RJ</v>
      </c>
      <c r="G92" s="7">
        <v>26</v>
      </c>
      <c r="H92" s="8">
        <v>20</v>
      </c>
      <c r="I92" s="8" t="s">
        <v>18</v>
      </c>
      <c r="J92" s="8">
        <v>5</v>
      </c>
      <c r="M92" s="8" t="str">
        <f t="shared" si="55"/>
        <v>Tabajara SP</v>
      </c>
      <c r="N92" s="8" t="str">
        <f t="shared" si="56"/>
        <v>Israel RJ</v>
      </c>
      <c r="O92" s="8" t="str">
        <f t="shared" si="57"/>
        <v>Tabajara SP</v>
      </c>
      <c r="P92" s="8" t="str">
        <f t="shared" si="58"/>
        <v/>
      </c>
      <c r="Q92" s="8" t="str">
        <f t="shared" si="59"/>
        <v/>
      </c>
      <c r="R92" s="8" t="str">
        <f t="shared" si="60"/>
        <v>Israel RJ</v>
      </c>
      <c r="S92" s="8" t="str">
        <f t="shared" si="61"/>
        <v>Tabajara SP</v>
      </c>
      <c r="T92" s="8">
        <f t="shared" si="62"/>
        <v>3</v>
      </c>
      <c r="U92" s="8" t="str">
        <f t="shared" si="63"/>
        <v>Israel RJ</v>
      </c>
      <c r="V92" s="8">
        <f t="shared" si="64"/>
        <v>2</v>
      </c>
      <c r="W92" s="8">
        <f t="shared" si="65"/>
        <v>3</v>
      </c>
    </row>
    <row r="93" spans="1:23" x14ac:dyDescent="0.25">
      <c r="A93" s="7">
        <v>29</v>
      </c>
      <c r="B93" s="18" t="str">
        <f>VLOOKUP($A93, Equipes!$A$3:$B$44, 2, FALSE)</f>
        <v>Alex Lage MG</v>
      </c>
      <c r="C93" s="17">
        <v>2</v>
      </c>
      <c r="D93" s="19" t="s">
        <v>23</v>
      </c>
      <c r="E93" s="17">
        <v>2</v>
      </c>
      <c r="F93" s="20" t="str">
        <f>VLOOKUP($G93, Equipes!$A$3:$B$44, 2, FALSE)</f>
        <v>Vinicius Rolim RJ</v>
      </c>
      <c r="G93" s="21">
        <v>32</v>
      </c>
      <c r="H93" s="18">
        <v>21</v>
      </c>
      <c r="I93" s="18" t="s">
        <v>17</v>
      </c>
      <c r="J93" s="18">
        <v>5</v>
      </c>
      <c r="K93" s="18"/>
      <c r="M93" s="8" t="str">
        <f t="shared" si="55"/>
        <v>Alex Lage MG</v>
      </c>
      <c r="N93" s="8" t="str">
        <f t="shared" si="56"/>
        <v>Vinicius Rolim RJ</v>
      </c>
      <c r="O93" s="8" t="str">
        <f t="shared" si="57"/>
        <v/>
      </c>
      <c r="P93" s="8" t="str">
        <f t="shared" si="58"/>
        <v>Alex Lage MG</v>
      </c>
      <c r="Q93" s="8" t="str">
        <f t="shared" si="59"/>
        <v>Vinicius Rolim RJ</v>
      </c>
      <c r="R93" s="8" t="str">
        <f t="shared" si="60"/>
        <v/>
      </c>
      <c r="S93" s="8" t="str">
        <f t="shared" si="61"/>
        <v>Alex Lage MG</v>
      </c>
      <c r="T93" s="8">
        <f t="shared" si="62"/>
        <v>2</v>
      </c>
      <c r="U93" s="8" t="str">
        <f t="shared" si="63"/>
        <v>Vinicius Rolim RJ</v>
      </c>
      <c r="V93" s="8">
        <f t="shared" si="64"/>
        <v>2</v>
      </c>
      <c r="W93" s="8">
        <f t="shared" si="65"/>
        <v>2</v>
      </c>
    </row>
    <row r="94" spans="1:23" x14ac:dyDescent="0.25">
      <c r="A94" s="7">
        <v>35</v>
      </c>
      <c r="B94" s="8" t="str">
        <f>VLOOKUP($A94, Equipes!$A$3:$B$44, 2, FALSE)</f>
        <v>Curvelo RJ</v>
      </c>
      <c r="C94" s="17">
        <v>2</v>
      </c>
      <c r="D94" s="9" t="s">
        <v>23</v>
      </c>
      <c r="E94" s="17">
        <v>4</v>
      </c>
      <c r="F94" s="10" t="str">
        <f>VLOOKUP($G94, Equipes!$A$3:$B$44, 2, FALSE)</f>
        <v>André Araújo AM</v>
      </c>
      <c r="G94" s="7">
        <v>30</v>
      </c>
      <c r="H94" s="8">
        <v>22</v>
      </c>
      <c r="I94" s="8" t="s">
        <v>17</v>
      </c>
      <c r="J94" s="8">
        <v>5</v>
      </c>
      <c r="M94" s="8" t="str">
        <f t="shared" si="55"/>
        <v>Curvelo RJ</v>
      </c>
      <c r="N94" s="8" t="str">
        <f t="shared" si="56"/>
        <v>André Araújo AM</v>
      </c>
      <c r="O94" s="8" t="str">
        <f t="shared" si="57"/>
        <v>André Araújo AM</v>
      </c>
      <c r="P94" s="8" t="str">
        <f t="shared" si="58"/>
        <v/>
      </c>
      <c r="Q94" s="8" t="str">
        <f t="shared" si="59"/>
        <v/>
      </c>
      <c r="R94" s="8" t="str">
        <f t="shared" si="60"/>
        <v>Curvelo RJ</v>
      </c>
      <c r="S94" s="8" t="str">
        <f t="shared" si="61"/>
        <v>Curvelo RJ</v>
      </c>
      <c r="T94" s="8">
        <f t="shared" si="62"/>
        <v>2</v>
      </c>
      <c r="U94" s="8" t="str">
        <f t="shared" si="63"/>
        <v>André Araújo AM</v>
      </c>
      <c r="V94" s="8">
        <f t="shared" si="64"/>
        <v>4</v>
      </c>
      <c r="W94" s="8">
        <f t="shared" si="65"/>
        <v>2</v>
      </c>
    </row>
    <row r="95" spans="1:23" x14ac:dyDescent="0.25">
      <c r="A95" s="7">
        <v>34</v>
      </c>
      <c r="B95" s="18" t="str">
        <f>VLOOKUP($A95, Equipes!$A$3:$B$44, 2, FALSE)</f>
        <v>Eduardo Rocha RJ</v>
      </c>
      <c r="C95" s="17">
        <v>3</v>
      </c>
      <c r="D95" s="19" t="s">
        <v>23</v>
      </c>
      <c r="E95" s="17">
        <v>1</v>
      </c>
      <c r="F95" s="20" t="str">
        <f>VLOOKUP($G95, Equipes!$A$3:$B$44, 2, FALSE)</f>
        <v>Rogério MG</v>
      </c>
      <c r="G95" s="21">
        <v>33</v>
      </c>
      <c r="H95" s="18">
        <v>23</v>
      </c>
      <c r="I95" s="18" t="s">
        <v>17</v>
      </c>
      <c r="J95" s="18">
        <v>5</v>
      </c>
      <c r="K95" s="18"/>
      <c r="M95" s="8" t="str">
        <f t="shared" si="55"/>
        <v>Eduardo Rocha RJ</v>
      </c>
      <c r="N95" s="8" t="str">
        <f t="shared" si="56"/>
        <v>Rogério MG</v>
      </c>
      <c r="O95" s="8" t="str">
        <f t="shared" si="57"/>
        <v>Eduardo Rocha RJ</v>
      </c>
      <c r="P95" s="8" t="str">
        <f t="shared" si="58"/>
        <v/>
      </c>
      <c r="Q95" s="8" t="str">
        <f t="shared" si="59"/>
        <v/>
      </c>
      <c r="R95" s="8" t="str">
        <f t="shared" si="60"/>
        <v>Rogério MG</v>
      </c>
      <c r="S95" s="8" t="str">
        <f t="shared" si="61"/>
        <v>Eduardo Rocha RJ</v>
      </c>
      <c r="T95" s="8">
        <f t="shared" si="62"/>
        <v>3</v>
      </c>
      <c r="U95" s="8" t="str">
        <f t="shared" si="63"/>
        <v>Rogério MG</v>
      </c>
      <c r="V95" s="8">
        <f t="shared" si="64"/>
        <v>1</v>
      </c>
      <c r="W95" s="8">
        <f t="shared" si="65"/>
        <v>3</v>
      </c>
    </row>
    <row r="96" spans="1:23" x14ac:dyDescent="0.25">
      <c r="A96" s="7">
        <v>36</v>
      </c>
      <c r="B96" s="8" t="str">
        <f>VLOOKUP($A96, Equipes!$A$3:$B$44, 2, FALSE)</f>
        <v>Willow SP</v>
      </c>
      <c r="C96" s="17">
        <v>4</v>
      </c>
      <c r="D96" s="9" t="s">
        <v>23</v>
      </c>
      <c r="E96" s="17">
        <v>1</v>
      </c>
      <c r="F96" s="10" t="str">
        <f>VLOOKUP($G96, Equipes!$A$3:$B$44, 2, FALSE)</f>
        <v>Vitor Luiz</v>
      </c>
      <c r="G96" s="7">
        <v>39</v>
      </c>
      <c r="H96" s="8">
        <v>24</v>
      </c>
      <c r="I96" s="8" t="s">
        <v>27</v>
      </c>
      <c r="J96" s="8">
        <v>5</v>
      </c>
      <c r="M96" s="8" t="str">
        <f t="shared" si="55"/>
        <v>Willow SP</v>
      </c>
      <c r="N96" s="8" t="str">
        <f t="shared" si="56"/>
        <v>Vitor Luiz</v>
      </c>
      <c r="O96" s="8" t="str">
        <f t="shared" si="57"/>
        <v>Willow SP</v>
      </c>
      <c r="P96" s="8" t="str">
        <f t="shared" si="58"/>
        <v/>
      </c>
      <c r="Q96" s="8" t="str">
        <f t="shared" si="59"/>
        <v/>
      </c>
      <c r="R96" s="8" t="str">
        <f t="shared" si="60"/>
        <v>Vitor Luiz</v>
      </c>
      <c r="S96" s="8" t="str">
        <f t="shared" si="61"/>
        <v>Willow SP</v>
      </c>
      <c r="T96" s="8">
        <f t="shared" si="62"/>
        <v>4</v>
      </c>
      <c r="U96" s="8" t="str">
        <f t="shared" si="63"/>
        <v>Vitor Luiz</v>
      </c>
      <c r="V96" s="8">
        <f t="shared" si="64"/>
        <v>1</v>
      </c>
      <c r="W96" s="8">
        <f t="shared" si="65"/>
        <v>4</v>
      </c>
    </row>
    <row r="97" spans="1:23" x14ac:dyDescent="0.25">
      <c r="A97" s="7">
        <v>42</v>
      </c>
      <c r="B97" s="18" t="str">
        <f>VLOOKUP($A97, Equipes!$A$3:$B$44, 2, FALSE)</f>
        <v>Bergamini SP</v>
      </c>
      <c r="C97" s="17">
        <v>2</v>
      </c>
      <c r="D97" s="19" t="s">
        <v>23</v>
      </c>
      <c r="E97" s="17">
        <v>2</v>
      </c>
      <c r="F97" s="20" t="str">
        <f>VLOOKUP($G97, Equipes!$A$3:$B$44, 2, FALSE)</f>
        <v>Elsio SP</v>
      </c>
      <c r="G97" s="21">
        <v>37</v>
      </c>
      <c r="H97" s="18">
        <v>25</v>
      </c>
      <c r="I97" s="18" t="s">
        <v>27</v>
      </c>
      <c r="J97" s="18">
        <v>5</v>
      </c>
      <c r="K97" s="18"/>
      <c r="M97" s="8" t="str">
        <f t="shared" si="55"/>
        <v>Bergamini SP</v>
      </c>
      <c r="N97" s="8" t="str">
        <f t="shared" si="56"/>
        <v>Elsio SP</v>
      </c>
      <c r="O97" s="8" t="str">
        <f t="shared" si="57"/>
        <v/>
      </c>
      <c r="P97" s="8" t="str">
        <f t="shared" si="58"/>
        <v>Bergamini SP</v>
      </c>
      <c r="Q97" s="8" t="str">
        <f t="shared" si="59"/>
        <v>Elsio SP</v>
      </c>
      <c r="R97" s="8" t="str">
        <f t="shared" si="60"/>
        <v/>
      </c>
      <c r="S97" s="8" t="str">
        <f t="shared" si="61"/>
        <v>Bergamini SP</v>
      </c>
      <c r="T97" s="8">
        <f t="shared" si="62"/>
        <v>2</v>
      </c>
      <c r="U97" s="8" t="str">
        <f t="shared" si="63"/>
        <v>Elsio SP</v>
      </c>
      <c r="V97" s="8">
        <f t="shared" si="64"/>
        <v>2</v>
      </c>
      <c r="W97" s="8">
        <f t="shared" si="65"/>
        <v>2</v>
      </c>
    </row>
    <row r="98" spans="1:23" x14ac:dyDescent="0.25">
      <c r="A98" s="7">
        <v>41</v>
      </c>
      <c r="B98" s="8" t="str">
        <f>VLOOKUP($A98, Equipes!$A$3:$B$44, 2, FALSE)</f>
        <v>Tavares RJ</v>
      </c>
      <c r="C98" s="17">
        <v>4</v>
      </c>
      <c r="D98" s="9" t="s">
        <v>23</v>
      </c>
      <c r="E98" s="17">
        <v>1</v>
      </c>
      <c r="F98" s="10" t="str">
        <f>VLOOKUP($G98, Equipes!$A$3:$B$44, 2, FALSE)</f>
        <v>Marcelo Aranha SP</v>
      </c>
      <c r="G98" s="7">
        <v>40</v>
      </c>
      <c r="H98" s="8">
        <v>26</v>
      </c>
      <c r="I98" s="8" t="s">
        <v>27</v>
      </c>
      <c r="J98" s="8">
        <v>5</v>
      </c>
      <c r="M98" s="8" t="str">
        <f t="shared" si="55"/>
        <v>Tavares RJ</v>
      </c>
      <c r="N98" s="8" t="str">
        <f t="shared" si="56"/>
        <v>Marcelo Aranha SP</v>
      </c>
      <c r="O98" s="8" t="str">
        <f t="shared" si="57"/>
        <v>Tavares RJ</v>
      </c>
      <c r="P98" s="8" t="str">
        <f t="shared" si="58"/>
        <v/>
      </c>
      <c r="Q98" s="8" t="str">
        <f t="shared" si="59"/>
        <v/>
      </c>
      <c r="R98" s="8" t="str">
        <f t="shared" si="60"/>
        <v>Marcelo Aranha SP</v>
      </c>
      <c r="S98" s="8" t="str">
        <f t="shared" si="61"/>
        <v>Tavares RJ</v>
      </c>
      <c r="T98" s="8">
        <f t="shared" si="62"/>
        <v>4</v>
      </c>
      <c r="U98" s="8" t="str">
        <f t="shared" si="63"/>
        <v>Marcelo Aranha SP</v>
      </c>
      <c r="V98" s="8">
        <f t="shared" si="64"/>
        <v>1</v>
      </c>
      <c r="W98" s="8">
        <f t="shared" si="65"/>
        <v>4</v>
      </c>
    </row>
    <row r="99" spans="1:23" x14ac:dyDescent="0.25">
      <c r="A99" s="7">
        <v>1</v>
      </c>
      <c r="B99" s="18" t="str">
        <f>VLOOKUP($A99, Equipes!$A$3:$B$44, 2, FALSE)</f>
        <v>Gabriel RJ</v>
      </c>
      <c r="C99" s="17">
        <v>3</v>
      </c>
      <c r="D99" s="19" t="s">
        <v>23</v>
      </c>
      <c r="E99" s="17">
        <v>1</v>
      </c>
      <c r="F99" s="20" t="str">
        <f>VLOOKUP($G99, Equipes!$A$3:$B$44, 2, FALSE)</f>
        <v>Dudu RJ</v>
      </c>
      <c r="G99" s="21">
        <v>3</v>
      </c>
      <c r="H99" s="18">
        <v>27</v>
      </c>
      <c r="I99" s="18" t="s">
        <v>24</v>
      </c>
      <c r="J99" s="18">
        <v>6</v>
      </c>
      <c r="K99" s="18"/>
      <c r="M99" s="8" t="str">
        <f t="shared" si="55"/>
        <v>Gabriel RJ</v>
      </c>
      <c r="N99" s="8" t="str">
        <f t="shared" si="56"/>
        <v>Dudu RJ</v>
      </c>
      <c r="O99" s="8" t="str">
        <f t="shared" si="57"/>
        <v>Gabriel RJ</v>
      </c>
      <c r="P99" s="8" t="str">
        <f t="shared" si="58"/>
        <v/>
      </c>
      <c r="Q99" s="8" t="str">
        <f t="shared" si="59"/>
        <v/>
      </c>
      <c r="R99" s="8" t="str">
        <f t="shared" si="60"/>
        <v>Dudu RJ</v>
      </c>
      <c r="S99" s="8" t="str">
        <f t="shared" si="61"/>
        <v>Gabriel RJ</v>
      </c>
      <c r="T99" s="8">
        <f t="shared" si="62"/>
        <v>3</v>
      </c>
      <c r="U99" s="8" t="str">
        <f t="shared" si="63"/>
        <v>Dudu RJ</v>
      </c>
      <c r="V99" s="8">
        <f t="shared" si="64"/>
        <v>1</v>
      </c>
      <c r="W99" s="8">
        <f t="shared" si="65"/>
        <v>3</v>
      </c>
    </row>
    <row r="100" spans="1:23" x14ac:dyDescent="0.25">
      <c r="A100" s="7">
        <v>4</v>
      </c>
      <c r="B100" s="8" t="str">
        <f>VLOOKUP($A100, Equipes!$A$3:$B$44, 2, FALSE)</f>
        <v>Pablo Martins RJ</v>
      </c>
      <c r="C100" s="17">
        <v>2</v>
      </c>
      <c r="D100" s="9" t="s">
        <v>23</v>
      </c>
      <c r="E100" s="17">
        <v>0</v>
      </c>
      <c r="F100" s="10" t="str">
        <f>VLOOKUP($G100, Equipes!$A$3:$B$44, 2, FALSE)</f>
        <v>Mário Bürguel RS</v>
      </c>
      <c r="G100" s="7">
        <v>2</v>
      </c>
      <c r="H100" s="8">
        <v>28</v>
      </c>
      <c r="I100" s="8" t="s">
        <v>24</v>
      </c>
      <c r="J100" s="8">
        <v>6</v>
      </c>
      <c r="M100" s="8" t="str">
        <f t="shared" si="55"/>
        <v>Pablo Martins RJ</v>
      </c>
      <c r="N100" s="8" t="str">
        <f t="shared" si="56"/>
        <v>Mário Bürguel RS</v>
      </c>
      <c r="O100" s="8" t="str">
        <f t="shared" si="57"/>
        <v>Pablo Martins RJ</v>
      </c>
      <c r="P100" s="8" t="str">
        <f t="shared" si="58"/>
        <v/>
      </c>
      <c r="Q100" s="8" t="str">
        <f t="shared" si="59"/>
        <v/>
      </c>
      <c r="R100" s="8" t="str">
        <f t="shared" si="60"/>
        <v>Mário Bürguel RS</v>
      </c>
      <c r="S100" s="8" t="str">
        <f t="shared" si="61"/>
        <v>Pablo Martins RJ</v>
      </c>
      <c r="T100" s="8">
        <f t="shared" si="62"/>
        <v>2</v>
      </c>
      <c r="U100" s="8" t="str">
        <f t="shared" si="63"/>
        <v>Mário Bürguel RS</v>
      </c>
      <c r="V100" s="8">
        <f t="shared" si="64"/>
        <v>0</v>
      </c>
      <c r="W100" s="8">
        <f t="shared" si="65"/>
        <v>2</v>
      </c>
    </row>
    <row r="101" spans="1:23" x14ac:dyDescent="0.25">
      <c r="A101" s="7">
        <v>7</v>
      </c>
      <c r="B101" s="18" t="str">
        <f>VLOOKUP($A101, Equipes!$A$3:$B$44, 2, FALSE)</f>
        <v>Gabriel Lisboa PA</v>
      </c>
      <c r="C101" s="17">
        <v>1</v>
      </c>
      <c r="D101" s="19" t="s">
        <v>23</v>
      </c>
      <c r="E101" s="17">
        <v>0</v>
      </c>
      <c r="F101" s="20" t="str">
        <f>VLOOKUP($G101, Equipes!$A$3:$B$44, 2, FALSE)</f>
        <v>Rogelson PR</v>
      </c>
      <c r="G101" s="21">
        <v>6</v>
      </c>
      <c r="H101" s="18">
        <v>29</v>
      </c>
      <c r="I101" s="18" t="s">
        <v>24</v>
      </c>
      <c r="J101" s="18">
        <v>6</v>
      </c>
      <c r="K101" s="18"/>
      <c r="M101" s="8" t="str">
        <f t="shared" si="55"/>
        <v>Gabriel Lisboa PA</v>
      </c>
      <c r="N101" s="8" t="str">
        <f t="shared" si="56"/>
        <v>Rogelson PR</v>
      </c>
      <c r="O101" s="8" t="str">
        <f t="shared" si="57"/>
        <v>Gabriel Lisboa PA</v>
      </c>
      <c r="P101" s="8" t="str">
        <f t="shared" si="58"/>
        <v/>
      </c>
      <c r="Q101" s="8" t="str">
        <f t="shared" si="59"/>
        <v/>
      </c>
      <c r="R101" s="8" t="str">
        <f t="shared" si="60"/>
        <v>Rogelson PR</v>
      </c>
      <c r="S101" s="8" t="str">
        <f t="shared" si="61"/>
        <v>Gabriel Lisboa PA</v>
      </c>
      <c r="T101" s="8">
        <f t="shared" si="62"/>
        <v>1</v>
      </c>
      <c r="U101" s="8" t="str">
        <f t="shared" si="63"/>
        <v>Rogelson PR</v>
      </c>
      <c r="V101" s="8">
        <f t="shared" si="64"/>
        <v>0</v>
      </c>
      <c r="W101" s="8">
        <f t="shared" si="65"/>
        <v>1</v>
      </c>
    </row>
    <row r="102" spans="1:23" x14ac:dyDescent="0.25">
      <c r="A102" s="7">
        <v>8</v>
      </c>
      <c r="B102" s="8" t="str">
        <f>VLOOKUP($A102, Equipes!$A$3:$B$44, 2, FALSE)</f>
        <v>Marcelinho RJ</v>
      </c>
      <c r="C102" s="17">
        <v>1</v>
      </c>
      <c r="D102" s="9" t="s">
        <v>23</v>
      </c>
      <c r="E102" s="17">
        <v>2</v>
      </c>
      <c r="F102" s="10" t="str">
        <f>VLOOKUP($G102, Equipes!$A$3:$B$44, 2, FALSE)</f>
        <v>Roberto Giolo MS</v>
      </c>
      <c r="G102" s="7">
        <v>10</v>
      </c>
      <c r="H102" s="8">
        <v>30</v>
      </c>
      <c r="I102" s="8" t="s">
        <v>25</v>
      </c>
      <c r="J102" s="8">
        <v>6</v>
      </c>
      <c r="M102" s="8" t="str">
        <f t="shared" si="55"/>
        <v>Marcelinho RJ</v>
      </c>
      <c r="N102" s="8" t="str">
        <f t="shared" si="56"/>
        <v>Roberto Giolo MS</v>
      </c>
      <c r="O102" s="8" t="str">
        <f t="shared" si="57"/>
        <v>Roberto Giolo MS</v>
      </c>
      <c r="P102" s="8" t="str">
        <f t="shared" si="58"/>
        <v/>
      </c>
      <c r="Q102" s="8" t="str">
        <f t="shared" si="59"/>
        <v/>
      </c>
      <c r="R102" s="8" t="str">
        <f t="shared" si="60"/>
        <v>Marcelinho RJ</v>
      </c>
      <c r="S102" s="8" t="str">
        <f t="shared" si="61"/>
        <v>Marcelinho RJ</v>
      </c>
      <c r="T102" s="8">
        <f t="shared" si="62"/>
        <v>1</v>
      </c>
      <c r="U102" s="8" t="str">
        <f t="shared" si="63"/>
        <v>Roberto Giolo MS</v>
      </c>
      <c r="V102" s="8">
        <f t="shared" si="64"/>
        <v>2</v>
      </c>
      <c r="W102" s="8">
        <f t="shared" si="65"/>
        <v>1</v>
      </c>
    </row>
    <row r="103" spans="1:23" x14ac:dyDescent="0.25">
      <c r="A103" s="7">
        <v>11</v>
      </c>
      <c r="B103" s="18" t="str">
        <f>VLOOKUP($A103, Equipes!$A$3:$B$44, 2, FALSE)</f>
        <v>Diogo SP</v>
      </c>
      <c r="C103" s="17">
        <v>0</v>
      </c>
      <c r="D103" s="19" t="s">
        <v>23</v>
      </c>
      <c r="E103" s="17">
        <v>3</v>
      </c>
      <c r="F103" s="20" t="str">
        <f>VLOOKUP($G103, Equipes!$A$3:$B$44, 2, FALSE)</f>
        <v>Capela SC</v>
      </c>
      <c r="G103" s="21">
        <v>9</v>
      </c>
      <c r="H103" s="18">
        <v>31</v>
      </c>
      <c r="I103" s="18" t="s">
        <v>25</v>
      </c>
      <c r="J103" s="18">
        <v>6</v>
      </c>
      <c r="K103" s="18"/>
      <c r="M103" s="8" t="str">
        <f t="shared" si="55"/>
        <v>Diogo SP</v>
      </c>
      <c r="N103" s="8" t="str">
        <f t="shared" si="56"/>
        <v>Capela SC</v>
      </c>
      <c r="O103" s="8" t="str">
        <f t="shared" si="57"/>
        <v>Capela SC</v>
      </c>
      <c r="P103" s="8" t="str">
        <f t="shared" si="58"/>
        <v/>
      </c>
      <c r="Q103" s="8" t="str">
        <f t="shared" si="59"/>
        <v/>
      </c>
      <c r="R103" s="8" t="str">
        <f t="shared" si="60"/>
        <v>Diogo SP</v>
      </c>
      <c r="S103" s="8" t="str">
        <f t="shared" si="61"/>
        <v>Diogo SP</v>
      </c>
      <c r="T103" s="8">
        <f t="shared" si="62"/>
        <v>0</v>
      </c>
      <c r="U103" s="8" t="str">
        <f t="shared" si="63"/>
        <v>Capela SC</v>
      </c>
      <c r="V103" s="8">
        <f t="shared" si="64"/>
        <v>3</v>
      </c>
      <c r="W103" s="8">
        <f t="shared" si="65"/>
        <v>0</v>
      </c>
    </row>
    <row r="104" spans="1:23" x14ac:dyDescent="0.25">
      <c r="A104" s="7">
        <v>14</v>
      </c>
      <c r="B104" s="8" t="str">
        <f>VLOOKUP($A104, Equipes!$A$3:$B$44, 2, FALSE)</f>
        <v>Ronaldo Eifler RS</v>
      </c>
      <c r="C104" s="17">
        <v>1</v>
      </c>
      <c r="D104" s="9" t="s">
        <v>23</v>
      </c>
      <c r="E104" s="17">
        <v>2</v>
      </c>
      <c r="F104" s="10" t="str">
        <f>VLOOKUP($G104, Equipes!$A$3:$B$44, 2, FALSE)</f>
        <v>Eduardo Massa MG</v>
      </c>
      <c r="G104" s="7">
        <v>13</v>
      </c>
      <c r="H104" s="8">
        <v>32</v>
      </c>
      <c r="I104" s="8" t="s">
        <v>25</v>
      </c>
      <c r="J104" s="8">
        <v>6</v>
      </c>
      <c r="M104" s="8" t="str">
        <f t="shared" si="55"/>
        <v>Ronaldo Eifler RS</v>
      </c>
      <c r="N104" s="8" t="str">
        <f t="shared" si="56"/>
        <v>Eduardo Massa MG</v>
      </c>
      <c r="O104" s="8" t="str">
        <f t="shared" si="57"/>
        <v>Eduardo Massa MG</v>
      </c>
      <c r="P104" s="8" t="str">
        <f t="shared" si="58"/>
        <v/>
      </c>
      <c r="Q104" s="8" t="str">
        <f t="shared" si="59"/>
        <v/>
      </c>
      <c r="R104" s="8" t="str">
        <f t="shared" si="60"/>
        <v>Ronaldo Eifler RS</v>
      </c>
      <c r="S104" s="8" t="str">
        <f t="shared" si="61"/>
        <v>Ronaldo Eifler RS</v>
      </c>
      <c r="T104" s="8">
        <f t="shared" si="62"/>
        <v>1</v>
      </c>
      <c r="U104" s="8" t="str">
        <f t="shared" si="63"/>
        <v>Eduardo Massa MG</v>
      </c>
      <c r="V104" s="8">
        <f t="shared" si="64"/>
        <v>2</v>
      </c>
      <c r="W104" s="8">
        <f t="shared" si="65"/>
        <v>1</v>
      </c>
    </row>
    <row r="105" spans="1:23" x14ac:dyDescent="0.25">
      <c r="B105" s="12" t="s">
        <v>33</v>
      </c>
      <c r="C105" s="13"/>
      <c r="D105" s="13"/>
      <c r="E105" s="13"/>
      <c r="F105" s="14"/>
      <c r="G105" s="15"/>
      <c r="H105" s="12" t="s">
        <v>12</v>
      </c>
      <c r="I105" s="12" t="s">
        <v>13</v>
      </c>
      <c r="J105" s="12" t="s">
        <v>14</v>
      </c>
      <c r="K105" s="16">
        <f>K3 + TIME(0,120,0)</f>
        <v>44850.5</v>
      </c>
      <c r="M105" s="11" t="s">
        <v>15</v>
      </c>
      <c r="N105" s="11" t="s">
        <v>15</v>
      </c>
      <c r="O105" s="11" t="s">
        <v>16</v>
      </c>
      <c r="P105" s="11" t="s">
        <v>17</v>
      </c>
      <c r="Q105" s="11" t="s">
        <v>17</v>
      </c>
      <c r="R105" s="11" t="s">
        <v>18</v>
      </c>
      <c r="S105" s="11" t="s">
        <v>19</v>
      </c>
      <c r="T105" s="11" t="s">
        <v>20</v>
      </c>
      <c r="U105" s="11" t="s">
        <v>16</v>
      </c>
      <c r="V105" s="11" t="s">
        <v>21</v>
      </c>
      <c r="W105" s="11" t="s">
        <v>22</v>
      </c>
    </row>
    <row r="106" spans="1:23" x14ac:dyDescent="0.25">
      <c r="A106" s="7">
        <v>15</v>
      </c>
      <c r="B106" s="8" t="str">
        <f>VLOOKUP($A106, Equipes!$A$3:$B$44, 2, FALSE)</f>
        <v>Claudio Jr MG</v>
      </c>
      <c r="C106" s="17">
        <v>1</v>
      </c>
      <c r="D106" s="9" t="s">
        <v>23</v>
      </c>
      <c r="E106" s="17">
        <v>2</v>
      </c>
      <c r="F106" s="10" t="str">
        <f>VLOOKUP($G106, Equipes!$A$3:$B$44, 2, FALSE)</f>
        <v>Almo PR</v>
      </c>
      <c r="G106" s="7">
        <v>17</v>
      </c>
      <c r="H106" s="8">
        <v>17</v>
      </c>
      <c r="I106" s="8" t="s">
        <v>26</v>
      </c>
      <c r="J106" s="8">
        <v>6</v>
      </c>
      <c r="M106" s="8" t="str">
        <f t="shared" ref="M106:M121" si="66">IF(OR(C106 = "",E106 = ""), "", B106)</f>
        <v>Claudio Jr MG</v>
      </c>
      <c r="N106" s="8" t="str">
        <f t="shared" ref="N106:N121" si="67">IF(OR(C106 = "",E106 = ""), "", F106)</f>
        <v>Almo PR</v>
      </c>
      <c r="O106" s="8" t="str">
        <f t="shared" ref="O106:O121" si="68">IF(C106&gt;E106,B106, IF(E106&gt;C106,F106, ""))</f>
        <v>Almo PR</v>
      </c>
      <c r="P106" s="8" t="str">
        <f t="shared" ref="P106:P121" si="69">IF(OR(C106 = "",E106 = ""), "", IF(C106=E106,B106, ""))</f>
        <v/>
      </c>
      <c r="Q106" s="8" t="str">
        <f t="shared" ref="Q106:Q121" si="70">IF(OR(C106 = "",E106 = ""), "", IF(C106=E106,F106, ""))</f>
        <v/>
      </c>
      <c r="R106" s="8" t="str">
        <f t="shared" ref="R106:R121" si="71">IF(C106&gt;E106,F106, IF(E106&gt;C106,B106, ""))</f>
        <v>Claudio Jr MG</v>
      </c>
      <c r="S106" s="8" t="str">
        <f t="shared" ref="S106:S121" si="72">IF(OR(C106 = "",E106 = ""), "", B106)</f>
        <v>Claudio Jr MG</v>
      </c>
      <c r="T106" s="8">
        <f t="shared" ref="T106:T121" si="73">IF(C106 = "", "", C106)</f>
        <v>1</v>
      </c>
      <c r="U106" s="8" t="str">
        <f t="shared" ref="U106:U121" si="74">IF(OR(C106 = "",E106 = ""), "", F106)</f>
        <v>Almo PR</v>
      </c>
      <c r="V106" s="8">
        <f t="shared" ref="V106:V121" si="75">IF(E106 = "", "", E106)</f>
        <v>2</v>
      </c>
      <c r="W106" s="8">
        <f t="shared" ref="W106:W121" si="76">IF(C106 = "", "", C106)</f>
        <v>1</v>
      </c>
    </row>
    <row r="107" spans="1:23" x14ac:dyDescent="0.25">
      <c r="A107" s="7">
        <v>18</v>
      </c>
      <c r="B107" s="18" t="str">
        <f>VLOOKUP($A107, Equipes!$A$3:$B$44, 2, FALSE)</f>
        <v>Cléo Jr SP</v>
      </c>
      <c r="C107" s="17">
        <v>1</v>
      </c>
      <c r="D107" s="19" t="s">
        <v>23</v>
      </c>
      <c r="E107" s="17">
        <v>3</v>
      </c>
      <c r="F107" s="20" t="str">
        <f>VLOOKUP($G107, Equipes!$A$3:$B$44, 2, FALSE)</f>
        <v>Kaka RJ</v>
      </c>
      <c r="G107" s="21">
        <v>16</v>
      </c>
      <c r="H107" s="18">
        <v>18</v>
      </c>
      <c r="I107" s="18" t="s">
        <v>26</v>
      </c>
      <c r="J107" s="18">
        <v>6</v>
      </c>
      <c r="K107" s="18"/>
      <c r="M107" s="8" t="str">
        <f t="shared" si="66"/>
        <v>Cléo Jr SP</v>
      </c>
      <c r="N107" s="8" t="str">
        <f t="shared" si="67"/>
        <v>Kaka RJ</v>
      </c>
      <c r="O107" s="8" t="str">
        <f t="shared" si="68"/>
        <v>Kaka RJ</v>
      </c>
      <c r="P107" s="8" t="str">
        <f t="shared" si="69"/>
        <v/>
      </c>
      <c r="Q107" s="8" t="str">
        <f t="shared" si="70"/>
        <v/>
      </c>
      <c r="R107" s="8" t="str">
        <f t="shared" si="71"/>
        <v>Cléo Jr SP</v>
      </c>
      <c r="S107" s="8" t="str">
        <f t="shared" si="72"/>
        <v>Cléo Jr SP</v>
      </c>
      <c r="T107" s="8">
        <f t="shared" si="73"/>
        <v>1</v>
      </c>
      <c r="U107" s="8" t="str">
        <f t="shared" si="74"/>
        <v>Kaka RJ</v>
      </c>
      <c r="V107" s="8">
        <f t="shared" si="75"/>
        <v>3</v>
      </c>
      <c r="W107" s="8">
        <f t="shared" si="76"/>
        <v>1</v>
      </c>
    </row>
    <row r="108" spans="1:23" x14ac:dyDescent="0.25">
      <c r="A108" s="7">
        <v>21</v>
      </c>
      <c r="B108" s="8" t="str">
        <f>VLOOKUP($A108, Equipes!$A$3:$B$44, 2, FALSE)</f>
        <v>Luiz Coelho SP</v>
      </c>
      <c r="C108" s="17">
        <v>0</v>
      </c>
      <c r="D108" s="9" t="s">
        <v>23</v>
      </c>
      <c r="E108" s="17">
        <v>1</v>
      </c>
      <c r="F108" s="10" t="str">
        <f>VLOOKUP($G108, Equipes!$A$3:$B$44, 2, FALSE)</f>
        <v>Justa SP</v>
      </c>
      <c r="G108" s="7">
        <v>20</v>
      </c>
      <c r="H108" s="8">
        <v>19</v>
      </c>
      <c r="I108" s="8" t="s">
        <v>26</v>
      </c>
      <c r="J108" s="8">
        <v>6</v>
      </c>
      <c r="M108" s="8" t="str">
        <f t="shared" si="66"/>
        <v>Luiz Coelho SP</v>
      </c>
      <c r="N108" s="8" t="str">
        <f t="shared" si="67"/>
        <v>Justa SP</v>
      </c>
      <c r="O108" s="8" t="str">
        <f t="shared" si="68"/>
        <v>Justa SP</v>
      </c>
      <c r="P108" s="8" t="str">
        <f t="shared" si="69"/>
        <v/>
      </c>
      <c r="Q108" s="8" t="str">
        <f t="shared" si="70"/>
        <v/>
      </c>
      <c r="R108" s="8" t="str">
        <f t="shared" si="71"/>
        <v>Luiz Coelho SP</v>
      </c>
      <c r="S108" s="8" t="str">
        <f t="shared" si="72"/>
        <v>Luiz Coelho SP</v>
      </c>
      <c r="T108" s="8">
        <f t="shared" si="73"/>
        <v>0</v>
      </c>
      <c r="U108" s="8" t="str">
        <f t="shared" si="74"/>
        <v>Justa SP</v>
      </c>
      <c r="V108" s="8">
        <f t="shared" si="75"/>
        <v>1</v>
      </c>
      <c r="W108" s="8">
        <f t="shared" si="76"/>
        <v>0</v>
      </c>
    </row>
    <row r="109" spans="1:23" x14ac:dyDescent="0.25">
      <c r="A109" s="7">
        <v>22</v>
      </c>
      <c r="B109" s="18" t="str">
        <f>VLOOKUP($A109, Equipes!$A$3:$B$44, 2, FALSE)</f>
        <v>João Paulo MG</v>
      </c>
      <c r="C109" s="17">
        <v>2</v>
      </c>
      <c r="D109" s="19" t="s">
        <v>23</v>
      </c>
      <c r="E109" s="17">
        <v>0</v>
      </c>
      <c r="F109" s="20" t="str">
        <f>VLOOKUP($G109, Equipes!$A$3:$B$44, 2, FALSE)</f>
        <v>Marcelo Baceiredo MG</v>
      </c>
      <c r="G109" s="21">
        <v>24</v>
      </c>
      <c r="H109" s="18">
        <v>20</v>
      </c>
      <c r="I109" s="18" t="s">
        <v>18</v>
      </c>
      <c r="J109" s="18">
        <v>6</v>
      </c>
      <c r="K109" s="18"/>
      <c r="M109" s="8" t="str">
        <f t="shared" si="66"/>
        <v>João Paulo MG</v>
      </c>
      <c r="N109" s="8" t="str">
        <f t="shared" si="67"/>
        <v>Marcelo Baceiredo MG</v>
      </c>
      <c r="O109" s="8" t="str">
        <f t="shared" si="68"/>
        <v>João Paulo MG</v>
      </c>
      <c r="P109" s="8" t="str">
        <f t="shared" si="69"/>
        <v/>
      </c>
      <c r="Q109" s="8" t="str">
        <f t="shared" si="70"/>
        <v/>
      </c>
      <c r="R109" s="8" t="str">
        <f t="shared" si="71"/>
        <v>Marcelo Baceiredo MG</v>
      </c>
      <c r="S109" s="8" t="str">
        <f t="shared" si="72"/>
        <v>João Paulo MG</v>
      </c>
      <c r="T109" s="8">
        <f t="shared" si="73"/>
        <v>2</v>
      </c>
      <c r="U109" s="8" t="str">
        <f t="shared" si="74"/>
        <v>Marcelo Baceiredo MG</v>
      </c>
      <c r="V109" s="8">
        <f t="shared" si="75"/>
        <v>0</v>
      </c>
      <c r="W109" s="8">
        <f t="shared" si="76"/>
        <v>2</v>
      </c>
    </row>
    <row r="110" spans="1:23" x14ac:dyDescent="0.25">
      <c r="A110" s="7">
        <v>25</v>
      </c>
      <c r="B110" s="8" t="str">
        <f>VLOOKUP($A110, Equipes!$A$3:$B$44, 2, FALSE)</f>
        <v>Renato Souza MG</v>
      </c>
      <c r="C110" s="17">
        <v>0</v>
      </c>
      <c r="D110" s="9" t="s">
        <v>23</v>
      </c>
      <c r="E110" s="17">
        <v>1</v>
      </c>
      <c r="F110" s="10" t="str">
        <f>VLOOKUP($G110, Equipes!$A$3:$B$44, 2, FALSE)</f>
        <v>Alysson RJ</v>
      </c>
      <c r="G110" s="7">
        <v>23</v>
      </c>
      <c r="H110" s="8">
        <v>21</v>
      </c>
      <c r="I110" s="8" t="s">
        <v>18</v>
      </c>
      <c r="J110" s="8">
        <v>6</v>
      </c>
      <c r="M110" s="8" t="str">
        <f t="shared" si="66"/>
        <v>Renato Souza MG</v>
      </c>
      <c r="N110" s="8" t="str">
        <f t="shared" si="67"/>
        <v>Alysson RJ</v>
      </c>
      <c r="O110" s="8" t="str">
        <f t="shared" si="68"/>
        <v>Alysson RJ</v>
      </c>
      <c r="P110" s="8" t="str">
        <f t="shared" si="69"/>
        <v/>
      </c>
      <c r="Q110" s="8" t="str">
        <f t="shared" si="70"/>
        <v/>
      </c>
      <c r="R110" s="8" t="str">
        <f t="shared" si="71"/>
        <v>Renato Souza MG</v>
      </c>
      <c r="S110" s="8" t="str">
        <f t="shared" si="72"/>
        <v>Renato Souza MG</v>
      </c>
      <c r="T110" s="8">
        <f t="shared" si="73"/>
        <v>0</v>
      </c>
      <c r="U110" s="8" t="str">
        <f t="shared" si="74"/>
        <v>Alysson RJ</v>
      </c>
      <c r="V110" s="8">
        <f t="shared" si="75"/>
        <v>1</v>
      </c>
      <c r="W110" s="8">
        <f t="shared" si="76"/>
        <v>0</v>
      </c>
    </row>
    <row r="111" spans="1:23" x14ac:dyDescent="0.25">
      <c r="A111" s="7">
        <v>28</v>
      </c>
      <c r="B111" s="18" t="str">
        <f>VLOOKUP($A111, Equipes!$A$3:$B$44, 2, FALSE)</f>
        <v>Claudio Mastrangelo RS</v>
      </c>
      <c r="C111" s="17">
        <v>1</v>
      </c>
      <c r="D111" s="19" t="s">
        <v>23</v>
      </c>
      <c r="E111" s="17">
        <v>2</v>
      </c>
      <c r="F111" s="20" t="str">
        <f>VLOOKUP($G111, Equipes!$A$3:$B$44, 2, FALSE)</f>
        <v>Tabajara SP</v>
      </c>
      <c r="G111" s="21">
        <v>27</v>
      </c>
      <c r="H111" s="18">
        <v>22</v>
      </c>
      <c r="I111" s="18" t="s">
        <v>18</v>
      </c>
      <c r="J111" s="18">
        <v>6</v>
      </c>
      <c r="K111" s="18"/>
      <c r="M111" s="8" t="str">
        <f t="shared" si="66"/>
        <v>Claudio Mastrangelo RS</v>
      </c>
      <c r="N111" s="8" t="str">
        <f t="shared" si="67"/>
        <v>Tabajara SP</v>
      </c>
      <c r="O111" s="8" t="str">
        <f t="shared" si="68"/>
        <v>Tabajara SP</v>
      </c>
      <c r="P111" s="8" t="str">
        <f t="shared" si="69"/>
        <v/>
      </c>
      <c r="Q111" s="8" t="str">
        <f t="shared" si="70"/>
        <v/>
      </c>
      <c r="R111" s="8" t="str">
        <f t="shared" si="71"/>
        <v>Claudio Mastrangelo RS</v>
      </c>
      <c r="S111" s="8" t="str">
        <f t="shared" si="72"/>
        <v>Claudio Mastrangelo RS</v>
      </c>
      <c r="T111" s="8">
        <f t="shared" si="73"/>
        <v>1</v>
      </c>
      <c r="U111" s="8" t="str">
        <f t="shared" si="74"/>
        <v>Tabajara SP</v>
      </c>
      <c r="V111" s="8">
        <f t="shared" si="75"/>
        <v>2</v>
      </c>
      <c r="W111" s="8">
        <f t="shared" si="76"/>
        <v>1</v>
      </c>
    </row>
    <row r="112" spans="1:23" x14ac:dyDescent="0.25">
      <c r="A112" s="7">
        <v>29</v>
      </c>
      <c r="B112" s="8" t="str">
        <f>VLOOKUP($A112, Equipes!$A$3:$B$44, 2, FALSE)</f>
        <v>Alex Lage MG</v>
      </c>
      <c r="C112" s="17">
        <v>3</v>
      </c>
      <c r="D112" s="9" t="s">
        <v>23</v>
      </c>
      <c r="E112" s="17">
        <v>2</v>
      </c>
      <c r="F112" s="10" t="str">
        <f>VLOOKUP($G112, Equipes!$A$3:$B$44, 2, FALSE)</f>
        <v>João Carlos RJ</v>
      </c>
      <c r="G112" s="7">
        <v>31</v>
      </c>
      <c r="H112" s="8">
        <v>23</v>
      </c>
      <c r="I112" s="8" t="s">
        <v>17</v>
      </c>
      <c r="J112" s="8">
        <v>6</v>
      </c>
      <c r="M112" s="8" t="str">
        <f t="shared" si="66"/>
        <v>Alex Lage MG</v>
      </c>
      <c r="N112" s="8" t="str">
        <f t="shared" si="67"/>
        <v>João Carlos RJ</v>
      </c>
      <c r="O112" s="8" t="str">
        <f t="shared" si="68"/>
        <v>Alex Lage MG</v>
      </c>
      <c r="P112" s="8" t="str">
        <f t="shared" si="69"/>
        <v/>
      </c>
      <c r="Q112" s="8" t="str">
        <f t="shared" si="70"/>
        <v/>
      </c>
      <c r="R112" s="8" t="str">
        <f t="shared" si="71"/>
        <v>João Carlos RJ</v>
      </c>
      <c r="S112" s="8" t="str">
        <f t="shared" si="72"/>
        <v>Alex Lage MG</v>
      </c>
      <c r="T112" s="8">
        <f t="shared" si="73"/>
        <v>3</v>
      </c>
      <c r="U112" s="8" t="str">
        <f t="shared" si="74"/>
        <v>João Carlos RJ</v>
      </c>
      <c r="V112" s="8">
        <f t="shared" si="75"/>
        <v>2</v>
      </c>
      <c r="W112" s="8">
        <f t="shared" si="76"/>
        <v>3</v>
      </c>
    </row>
    <row r="113" spans="1:23" x14ac:dyDescent="0.25">
      <c r="A113" s="7">
        <v>32</v>
      </c>
      <c r="B113" s="18" t="str">
        <f>VLOOKUP($A113, Equipes!$A$3:$B$44, 2, FALSE)</f>
        <v>Vinicius Rolim RJ</v>
      </c>
      <c r="C113" s="17">
        <v>2</v>
      </c>
      <c r="D113" s="19" t="s">
        <v>23</v>
      </c>
      <c r="E113" s="17">
        <v>1</v>
      </c>
      <c r="F113" s="20" t="str">
        <f>VLOOKUP($G113, Equipes!$A$3:$B$44, 2, FALSE)</f>
        <v>André Araújo AM</v>
      </c>
      <c r="G113" s="21">
        <v>30</v>
      </c>
      <c r="H113" s="18">
        <v>24</v>
      </c>
      <c r="I113" s="18" t="s">
        <v>17</v>
      </c>
      <c r="J113" s="18">
        <v>6</v>
      </c>
      <c r="K113" s="18"/>
      <c r="M113" s="8" t="str">
        <f t="shared" si="66"/>
        <v>Vinicius Rolim RJ</v>
      </c>
      <c r="N113" s="8" t="str">
        <f t="shared" si="67"/>
        <v>André Araújo AM</v>
      </c>
      <c r="O113" s="8" t="str">
        <f t="shared" si="68"/>
        <v>Vinicius Rolim RJ</v>
      </c>
      <c r="P113" s="8" t="str">
        <f t="shared" si="69"/>
        <v/>
      </c>
      <c r="Q113" s="8" t="str">
        <f t="shared" si="70"/>
        <v/>
      </c>
      <c r="R113" s="8" t="str">
        <f t="shared" si="71"/>
        <v>André Araújo AM</v>
      </c>
      <c r="S113" s="8" t="str">
        <f t="shared" si="72"/>
        <v>Vinicius Rolim RJ</v>
      </c>
      <c r="T113" s="8">
        <f t="shared" si="73"/>
        <v>2</v>
      </c>
      <c r="U113" s="8" t="str">
        <f t="shared" si="74"/>
        <v>André Araújo AM</v>
      </c>
      <c r="V113" s="8">
        <f t="shared" si="75"/>
        <v>1</v>
      </c>
      <c r="W113" s="8">
        <f t="shared" si="76"/>
        <v>2</v>
      </c>
    </row>
    <row r="114" spans="1:23" x14ac:dyDescent="0.25">
      <c r="A114" s="7">
        <v>35</v>
      </c>
      <c r="B114" s="8" t="str">
        <f>VLOOKUP($A114, Equipes!$A$3:$B$44, 2, FALSE)</f>
        <v>Curvelo RJ</v>
      </c>
      <c r="C114" s="17">
        <v>0</v>
      </c>
      <c r="D114" s="9" t="s">
        <v>23</v>
      </c>
      <c r="E114" s="17">
        <v>1</v>
      </c>
      <c r="F114" s="10" t="str">
        <f>VLOOKUP($G114, Equipes!$A$3:$B$44, 2, FALSE)</f>
        <v>Eduardo Rocha RJ</v>
      </c>
      <c r="G114" s="7">
        <v>34</v>
      </c>
      <c r="H114" s="8">
        <v>25</v>
      </c>
      <c r="I114" s="8" t="s">
        <v>17</v>
      </c>
      <c r="J114" s="8">
        <v>6</v>
      </c>
      <c r="M114" s="8" t="str">
        <f t="shared" si="66"/>
        <v>Curvelo RJ</v>
      </c>
      <c r="N114" s="8" t="str">
        <f t="shared" si="67"/>
        <v>Eduardo Rocha RJ</v>
      </c>
      <c r="O114" s="8" t="str">
        <f t="shared" si="68"/>
        <v>Eduardo Rocha RJ</v>
      </c>
      <c r="P114" s="8" t="str">
        <f t="shared" si="69"/>
        <v/>
      </c>
      <c r="Q114" s="8" t="str">
        <f t="shared" si="70"/>
        <v/>
      </c>
      <c r="R114" s="8" t="str">
        <f t="shared" si="71"/>
        <v>Curvelo RJ</v>
      </c>
      <c r="S114" s="8" t="str">
        <f t="shared" si="72"/>
        <v>Curvelo RJ</v>
      </c>
      <c r="T114" s="8">
        <f t="shared" si="73"/>
        <v>0</v>
      </c>
      <c r="U114" s="8" t="str">
        <f t="shared" si="74"/>
        <v>Eduardo Rocha RJ</v>
      </c>
      <c r="V114" s="8">
        <f t="shared" si="75"/>
        <v>1</v>
      </c>
      <c r="W114" s="8">
        <f t="shared" si="76"/>
        <v>0</v>
      </c>
    </row>
    <row r="115" spans="1:23" x14ac:dyDescent="0.25">
      <c r="A115" s="7">
        <v>36</v>
      </c>
      <c r="B115" s="18" t="str">
        <f>VLOOKUP($A115, Equipes!$A$3:$B$44, 2, FALSE)</f>
        <v>Willow SP</v>
      </c>
      <c r="C115" s="17">
        <v>4</v>
      </c>
      <c r="D115" s="19" t="s">
        <v>23</v>
      </c>
      <c r="E115" s="17">
        <v>2</v>
      </c>
      <c r="F115" s="20" t="str">
        <f>VLOOKUP($G115, Equipes!$A$3:$B$44, 2, FALSE)</f>
        <v>João Marcelo MG</v>
      </c>
      <c r="G115" s="21">
        <v>38</v>
      </c>
      <c r="H115" s="18">
        <v>26</v>
      </c>
      <c r="I115" s="18" t="s">
        <v>27</v>
      </c>
      <c r="J115" s="18">
        <v>6</v>
      </c>
      <c r="K115" s="18"/>
      <c r="M115" s="8" t="str">
        <f t="shared" si="66"/>
        <v>Willow SP</v>
      </c>
      <c r="N115" s="8" t="str">
        <f t="shared" si="67"/>
        <v>João Marcelo MG</v>
      </c>
      <c r="O115" s="8" t="str">
        <f t="shared" si="68"/>
        <v>Willow SP</v>
      </c>
      <c r="P115" s="8" t="str">
        <f t="shared" si="69"/>
        <v/>
      </c>
      <c r="Q115" s="8" t="str">
        <f t="shared" si="70"/>
        <v/>
      </c>
      <c r="R115" s="8" t="str">
        <f t="shared" si="71"/>
        <v>João Marcelo MG</v>
      </c>
      <c r="S115" s="8" t="str">
        <f t="shared" si="72"/>
        <v>Willow SP</v>
      </c>
      <c r="T115" s="8">
        <f t="shared" si="73"/>
        <v>4</v>
      </c>
      <c r="U115" s="8" t="str">
        <f t="shared" si="74"/>
        <v>João Marcelo MG</v>
      </c>
      <c r="V115" s="8">
        <f t="shared" si="75"/>
        <v>2</v>
      </c>
      <c r="W115" s="8">
        <f t="shared" si="76"/>
        <v>4</v>
      </c>
    </row>
    <row r="116" spans="1:23" x14ac:dyDescent="0.25">
      <c r="A116" s="7">
        <v>39</v>
      </c>
      <c r="B116" s="8" t="str">
        <f>VLOOKUP($A116, Equipes!$A$3:$B$44, 2, FALSE)</f>
        <v>Vitor Luiz</v>
      </c>
      <c r="C116" s="17">
        <v>2</v>
      </c>
      <c r="D116" s="9" t="s">
        <v>23</v>
      </c>
      <c r="E116" s="17">
        <v>4</v>
      </c>
      <c r="F116" s="10" t="str">
        <f>VLOOKUP($G116, Equipes!$A$3:$B$44, 2, FALSE)</f>
        <v>Elsio SP</v>
      </c>
      <c r="G116" s="7">
        <v>37</v>
      </c>
      <c r="H116" s="8">
        <v>27</v>
      </c>
      <c r="I116" s="8" t="s">
        <v>27</v>
      </c>
      <c r="J116" s="8">
        <v>6</v>
      </c>
      <c r="M116" s="8" t="str">
        <f t="shared" si="66"/>
        <v>Vitor Luiz</v>
      </c>
      <c r="N116" s="8" t="str">
        <f t="shared" si="67"/>
        <v>Elsio SP</v>
      </c>
      <c r="O116" s="8" t="str">
        <f t="shared" si="68"/>
        <v>Elsio SP</v>
      </c>
      <c r="P116" s="8" t="str">
        <f t="shared" si="69"/>
        <v/>
      </c>
      <c r="Q116" s="8" t="str">
        <f t="shared" si="70"/>
        <v/>
      </c>
      <c r="R116" s="8" t="str">
        <f t="shared" si="71"/>
        <v>Vitor Luiz</v>
      </c>
      <c r="S116" s="8" t="str">
        <f t="shared" si="72"/>
        <v>Vitor Luiz</v>
      </c>
      <c r="T116" s="8">
        <f t="shared" si="73"/>
        <v>2</v>
      </c>
      <c r="U116" s="8" t="str">
        <f t="shared" si="74"/>
        <v>Elsio SP</v>
      </c>
      <c r="V116" s="8">
        <f t="shared" si="75"/>
        <v>4</v>
      </c>
      <c r="W116" s="8">
        <f t="shared" si="76"/>
        <v>2</v>
      </c>
    </row>
    <row r="117" spans="1:23" x14ac:dyDescent="0.25">
      <c r="A117" s="7">
        <v>42</v>
      </c>
      <c r="B117" s="18" t="str">
        <f>VLOOKUP($A117, Equipes!$A$3:$B$44, 2, FALSE)</f>
        <v>Bergamini SP</v>
      </c>
      <c r="C117" s="17">
        <v>2</v>
      </c>
      <c r="D117" s="19" t="s">
        <v>23</v>
      </c>
      <c r="E117" s="17">
        <v>4</v>
      </c>
      <c r="F117" s="20" t="str">
        <f>VLOOKUP($G117, Equipes!$A$3:$B$44, 2, FALSE)</f>
        <v>Tavares RJ</v>
      </c>
      <c r="G117" s="21">
        <v>41</v>
      </c>
      <c r="H117" s="18">
        <v>28</v>
      </c>
      <c r="I117" s="18" t="s">
        <v>27</v>
      </c>
      <c r="J117" s="18">
        <v>6</v>
      </c>
      <c r="K117" s="18"/>
      <c r="M117" s="8" t="str">
        <f t="shared" si="66"/>
        <v>Bergamini SP</v>
      </c>
      <c r="N117" s="8" t="str">
        <f t="shared" si="67"/>
        <v>Tavares RJ</v>
      </c>
      <c r="O117" s="8" t="str">
        <f t="shared" si="68"/>
        <v>Tavares RJ</v>
      </c>
      <c r="P117" s="8" t="str">
        <f t="shared" si="69"/>
        <v/>
      </c>
      <c r="Q117" s="8" t="str">
        <f t="shared" si="70"/>
        <v/>
      </c>
      <c r="R117" s="8" t="str">
        <f t="shared" si="71"/>
        <v>Bergamini SP</v>
      </c>
      <c r="S117" s="8" t="str">
        <f t="shared" si="72"/>
        <v>Bergamini SP</v>
      </c>
      <c r="T117" s="8">
        <f t="shared" si="73"/>
        <v>2</v>
      </c>
      <c r="U117" s="8" t="str">
        <f t="shared" si="74"/>
        <v>Tavares RJ</v>
      </c>
      <c r="V117" s="8">
        <f t="shared" si="75"/>
        <v>4</v>
      </c>
      <c r="W117" s="8">
        <f t="shared" si="76"/>
        <v>2</v>
      </c>
    </row>
    <row r="118" spans="1:23" x14ac:dyDescent="0.25">
      <c r="A118" s="7">
        <v>1</v>
      </c>
      <c r="B118" s="8" t="str">
        <f>VLOOKUP($A118, Equipes!$A$3:$B$44, 2, FALSE)</f>
        <v>Gabriel RJ</v>
      </c>
      <c r="C118" s="17">
        <v>2</v>
      </c>
      <c r="D118" s="9" t="s">
        <v>23</v>
      </c>
      <c r="E118" s="17">
        <v>0</v>
      </c>
      <c r="F118" s="10" t="str">
        <f>VLOOKUP($G118, Equipes!$A$3:$B$44, 2, FALSE)</f>
        <v>Mário Bürguel RS</v>
      </c>
      <c r="G118" s="7">
        <v>2</v>
      </c>
      <c r="H118" s="8">
        <v>29</v>
      </c>
      <c r="I118" s="8" t="s">
        <v>24</v>
      </c>
      <c r="J118" s="8">
        <v>7</v>
      </c>
      <c r="M118" s="8" t="str">
        <f t="shared" si="66"/>
        <v>Gabriel RJ</v>
      </c>
      <c r="N118" s="8" t="str">
        <f t="shared" si="67"/>
        <v>Mário Bürguel RS</v>
      </c>
      <c r="O118" s="8" t="str">
        <f t="shared" si="68"/>
        <v>Gabriel RJ</v>
      </c>
      <c r="P118" s="8" t="str">
        <f t="shared" si="69"/>
        <v/>
      </c>
      <c r="Q118" s="8" t="str">
        <f t="shared" si="70"/>
        <v/>
      </c>
      <c r="R118" s="8" t="str">
        <f t="shared" si="71"/>
        <v>Mário Bürguel RS</v>
      </c>
      <c r="S118" s="8" t="str">
        <f t="shared" si="72"/>
        <v>Gabriel RJ</v>
      </c>
      <c r="T118" s="8">
        <f t="shared" si="73"/>
        <v>2</v>
      </c>
      <c r="U118" s="8" t="str">
        <f t="shared" si="74"/>
        <v>Mário Bürguel RS</v>
      </c>
      <c r="V118" s="8">
        <f t="shared" si="75"/>
        <v>0</v>
      </c>
      <c r="W118" s="8">
        <f t="shared" si="76"/>
        <v>2</v>
      </c>
    </row>
    <row r="119" spans="1:23" x14ac:dyDescent="0.25">
      <c r="A119" s="7">
        <v>3</v>
      </c>
      <c r="B119" s="18" t="str">
        <f>VLOOKUP($A119, Equipes!$A$3:$B$44, 2, FALSE)</f>
        <v>Dudu RJ</v>
      </c>
      <c r="C119" s="17">
        <v>1</v>
      </c>
      <c r="D119" s="19" t="s">
        <v>23</v>
      </c>
      <c r="E119" s="17">
        <v>2</v>
      </c>
      <c r="F119" s="20" t="str">
        <f>VLOOKUP($G119, Equipes!$A$3:$B$44, 2, FALSE)</f>
        <v>Thiago Matoso RJ</v>
      </c>
      <c r="G119" s="21">
        <v>5</v>
      </c>
      <c r="H119" s="18">
        <v>30</v>
      </c>
      <c r="I119" s="18" t="s">
        <v>24</v>
      </c>
      <c r="J119" s="18">
        <v>7</v>
      </c>
      <c r="K119" s="18"/>
      <c r="M119" s="8" t="str">
        <f t="shared" si="66"/>
        <v>Dudu RJ</v>
      </c>
      <c r="N119" s="8" t="str">
        <f t="shared" si="67"/>
        <v>Thiago Matoso RJ</v>
      </c>
      <c r="O119" s="8" t="str">
        <f t="shared" si="68"/>
        <v>Thiago Matoso RJ</v>
      </c>
      <c r="P119" s="8" t="str">
        <f t="shared" si="69"/>
        <v/>
      </c>
      <c r="Q119" s="8" t="str">
        <f t="shared" si="70"/>
        <v/>
      </c>
      <c r="R119" s="8" t="str">
        <f t="shared" si="71"/>
        <v>Dudu RJ</v>
      </c>
      <c r="S119" s="8" t="str">
        <f t="shared" si="72"/>
        <v>Dudu RJ</v>
      </c>
      <c r="T119" s="8">
        <f t="shared" si="73"/>
        <v>1</v>
      </c>
      <c r="U119" s="8" t="str">
        <f t="shared" si="74"/>
        <v>Thiago Matoso RJ</v>
      </c>
      <c r="V119" s="8">
        <f t="shared" si="75"/>
        <v>2</v>
      </c>
      <c r="W119" s="8">
        <f t="shared" si="76"/>
        <v>1</v>
      </c>
    </row>
    <row r="120" spans="1:23" x14ac:dyDescent="0.25">
      <c r="A120" s="7">
        <v>4</v>
      </c>
      <c r="B120" s="8" t="str">
        <f>VLOOKUP($A120, Equipes!$A$3:$B$44, 2, FALSE)</f>
        <v>Pablo Martins RJ</v>
      </c>
      <c r="C120" s="17">
        <v>2</v>
      </c>
      <c r="D120" s="9" t="s">
        <v>23</v>
      </c>
      <c r="E120" s="17">
        <v>0</v>
      </c>
      <c r="F120" s="10" t="str">
        <f>VLOOKUP($G120, Equipes!$A$3:$B$44, 2, FALSE)</f>
        <v>Rogelson PR</v>
      </c>
      <c r="G120" s="7">
        <v>6</v>
      </c>
      <c r="H120" s="8">
        <v>31</v>
      </c>
      <c r="I120" s="8" t="s">
        <v>24</v>
      </c>
      <c r="J120" s="8">
        <v>7</v>
      </c>
      <c r="M120" s="8" t="str">
        <f t="shared" si="66"/>
        <v>Pablo Martins RJ</v>
      </c>
      <c r="N120" s="8" t="str">
        <f t="shared" si="67"/>
        <v>Rogelson PR</v>
      </c>
      <c r="O120" s="8" t="str">
        <f t="shared" si="68"/>
        <v>Pablo Martins RJ</v>
      </c>
      <c r="P120" s="8" t="str">
        <f t="shared" si="69"/>
        <v/>
      </c>
      <c r="Q120" s="8" t="str">
        <f t="shared" si="70"/>
        <v/>
      </c>
      <c r="R120" s="8" t="str">
        <f t="shared" si="71"/>
        <v>Rogelson PR</v>
      </c>
      <c r="S120" s="8" t="str">
        <f t="shared" si="72"/>
        <v>Pablo Martins RJ</v>
      </c>
      <c r="T120" s="8">
        <f t="shared" si="73"/>
        <v>2</v>
      </c>
      <c r="U120" s="8" t="str">
        <f t="shared" si="74"/>
        <v>Rogelson PR</v>
      </c>
      <c r="V120" s="8">
        <f t="shared" si="75"/>
        <v>0</v>
      </c>
      <c r="W120" s="8">
        <f t="shared" si="76"/>
        <v>2</v>
      </c>
    </row>
    <row r="121" spans="1:23" x14ac:dyDescent="0.25">
      <c r="A121" s="7">
        <v>8</v>
      </c>
      <c r="B121" s="18" t="str">
        <f>VLOOKUP($A121, Equipes!$A$3:$B$44, 2, FALSE)</f>
        <v>Marcelinho RJ</v>
      </c>
      <c r="C121" s="17">
        <v>2</v>
      </c>
      <c r="D121" s="19" t="s">
        <v>23</v>
      </c>
      <c r="E121" s="17">
        <v>1</v>
      </c>
      <c r="F121" s="20" t="str">
        <f>VLOOKUP($G121, Equipes!$A$3:$B$44, 2, FALSE)</f>
        <v>Capela SC</v>
      </c>
      <c r="G121" s="21">
        <v>9</v>
      </c>
      <c r="H121" s="18">
        <v>32</v>
      </c>
      <c r="I121" s="18" t="s">
        <v>25</v>
      </c>
      <c r="J121" s="18">
        <v>7</v>
      </c>
      <c r="K121" s="18"/>
      <c r="M121" s="8" t="str">
        <f t="shared" si="66"/>
        <v>Marcelinho RJ</v>
      </c>
      <c r="N121" s="8" t="str">
        <f t="shared" si="67"/>
        <v>Capela SC</v>
      </c>
      <c r="O121" s="8" t="str">
        <f t="shared" si="68"/>
        <v>Marcelinho RJ</v>
      </c>
      <c r="P121" s="8" t="str">
        <f t="shared" si="69"/>
        <v/>
      </c>
      <c r="Q121" s="8" t="str">
        <f t="shared" si="70"/>
        <v/>
      </c>
      <c r="R121" s="8" t="str">
        <f t="shared" si="71"/>
        <v>Capela SC</v>
      </c>
      <c r="S121" s="8" t="str">
        <f t="shared" si="72"/>
        <v>Marcelinho RJ</v>
      </c>
      <c r="T121" s="8">
        <f t="shared" si="73"/>
        <v>2</v>
      </c>
      <c r="U121" s="8" t="str">
        <f t="shared" si="74"/>
        <v>Capela SC</v>
      </c>
      <c r="V121" s="8">
        <f t="shared" si="75"/>
        <v>1</v>
      </c>
      <c r="W121" s="8">
        <f t="shared" si="76"/>
        <v>2</v>
      </c>
    </row>
    <row r="122" spans="1:23" x14ac:dyDescent="0.25">
      <c r="B122" s="12" t="s">
        <v>34</v>
      </c>
      <c r="C122" s="13"/>
      <c r="D122" s="13"/>
      <c r="E122" s="13"/>
      <c r="F122" s="14"/>
      <c r="G122" s="15"/>
      <c r="H122" s="12" t="s">
        <v>12</v>
      </c>
      <c r="I122" s="12" t="s">
        <v>13</v>
      </c>
      <c r="J122" s="12" t="s">
        <v>14</v>
      </c>
      <c r="K122" s="16">
        <f>K3 + TIME(0,140,0)</f>
        <v>44850.513888888883</v>
      </c>
      <c r="M122" s="11" t="s">
        <v>15</v>
      </c>
      <c r="N122" s="11" t="s">
        <v>15</v>
      </c>
      <c r="O122" s="11" t="s">
        <v>16</v>
      </c>
      <c r="P122" s="11" t="s">
        <v>17</v>
      </c>
      <c r="Q122" s="11" t="s">
        <v>17</v>
      </c>
      <c r="R122" s="11" t="s">
        <v>18</v>
      </c>
      <c r="S122" s="11" t="s">
        <v>19</v>
      </c>
      <c r="T122" s="11" t="s">
        <v>20</v>
      </c>
      <c r="U122" s="11" t="s">
        <v>16</v>
      </c>
      <c r="V122" s="11" t="s">
        <v>21</v>
      </c>
      <c r="W122" s="11" t="s">
        <v>22</v>
      </c>
    </row>
    <row r="123" spans="1:23" x14ac:dyDescent="0.25">
      <c r="A123" s="7">
        <v>10</v>
      </c>
      <c r="B123" s="18" t="str">
        <f>VLOOKUP($A123, Equipes!$A$3:$B$44, 2, FALSE)</f>
        <v>Roberto Giolo MS</v>
      </c>
      <c r="C123" s="17">
        <v>2</v>
      </c>
      <c r="D123" s="19" t="s">
        <v>23</v>
      </c>
      <c r="E123" s="17">
        <v>3</v>
      </c>
      <c r="F123" s="20" t="str">
        <f>VLOOKUP($G123, Equipes!$A$3:$B$44, 2, FALSE)</f>
        <v>Lian MG</v>
      </c>
      <c r="G123" s="21">
        <v>12</v>
      </c>
      <c r="H123" s="18">
        <v>17</v>
      </c>
      <c r="I123" s="18" t="s">
        <v>25</v>
      </c>
      <c r="J123" s="18">
        <v>7</v>
      </c>
      <c r="K123" s="18"/>
      <c r="M123" s="8" t="str">
        <f t="shared" ref="M123:M136" si="77">IF(OR(C123 = "",E123 = ""), "", B123)</f>
        <v>Roberto Giolo MS</v>
      </c>
      <c r="N123" s="8" t="str">
        <f t="shared" ref="N123:N136" si="78">IF(OR(C123 = "",E123 = ""), "", F123)</f>
        <v>Lian MG</v>
      </c>
      <c r="O123" s="8" t="str">
        <f t="shared" ref="O123:O136" si="79">IF(C123&gt;E123,B123, IF(E123&gt;C123,F123, ""))</f>
        <v>Lian MG</v>
      </c>
      <c r="P123" s="8" t="str">
        <f t="shared" ref="P123:P136" si="80">IF(OR(C123 = "",E123 = ""), "", IF(C123=E123,B123, ""))</f>
        <v/>
      </c>
      <c r="Q123" s="8" t="str">
        <f t="shared" ref="Q123:Q136" si="81">IF(OR(C123 = "",E123 = ""), "", IF(C123=E123,F123, ""))</f>
        <v/>
      </c>
      <c r="R123" s="8" t="str">
        <f t="shared" ref="R123:R136" si="82">IF(C123&gt;E123,F123, IF(E123&gt;C123,B123, ""))</f>
        <v>Roberto Giolo MS</v>
      </c>
      <c r="S123" s="8" t="str">
        <f t="shared" ref="S123:S136" si="83">IF(OR(C123 = "",E123 = ""), "", B123)</f>
        <v>Roberto Giolo MS</v>
      </c>
      <c r="T123" s="8">
        <f t="shared" ref="T123:T136" si="84">IF(C123 = "", "", C123)</f>
        <v>2</v>
      </c>
      <c r="U123" s="8" t="str">
        <f t="shared" ref="U123:U136" si="85">IF(OR(C123 = "",E123 = ""), "", F123)</f>
        <v>Lian MG</v>
      </c>
      <c r="V123" s="8">
        <f t="shared" ref="V123:V136" si="86">IF(E123 = "", "", E123)</f>
        <v>3</v>
      </c>
      <c r="W123" s="8">
        <f t="shared" ref="W123:W136" si="87">IF(C123 = "", "", C123)</f>
        <v>2</v>
      </c>
    </row>
    <row r="124" spans="1:23" x14ac:dyDescent="0.25">
      <c r="A124" s="7">
        <v>11</v>
      </c>
      <c r="B124" s="8" t="str">
        <f>VLOOKUP($A124, Equipes!$A$3:$B$44, 2, FALSE)</f>
        <v>Diogo SP</v>
      </c>
      <c r="C124" s="17">
        <v>3</v>
      </c>
      <c r="D124" s="9" t="s">
        <v>23</v>
      </c>
      <c r="E124" s="17">
        <v>0</v>
      </c>
      <c r="F124" s="10" t="str">
        <f>VLOOKUP($G124, Equipes!$A$3:$B$44, 2, FALSE)</f>
        <v>Eduardo Massa MG</v>
      </c>
      <c r="G124" s="7">
        <v>13</v>
      </c>
      <c r="H124" s="8">
        <v>18</v>
      </c>
      <c r="I124" s="8" t="s">
        <v>25</v>
      </c>
      <c r="J124" s="8">
        <v>7</v>
      </c>
      <c r="M124" s="8" t="str">
        <f t="shared" si="77"/>
        <v>Diogo SP</v>
      </c>
      <c r="N124" s="8" t="str">
        <f t="shared" si="78"/>
        <v>Eduardo Massa MG</v>
      </c>
      <c r="O124" s="8" t="str">
        <f t="shared" si="79"/>
        <v>Diogo SP</v>
      </c>
      <c r="P124" s="8" t="str">
        <f t="shared" si="80"/>
        <v/>
      </c>
      <c r="Q124" s="8" t="str">
        <f t="shared" si="81"/>
        <v/>
      </c>
      <c r="R124" s="8" t="str">
        <f t="shared" si="82"/>
        <v>Eduardo Massa MG</v>
      </c>
      <c r="S124" s="8" t="str">
        <f t="shared" si="83"/>
        <v>Diogo SP</v>
      </c>
      <c r="T124" s="8">
        <f t="shared" si="84"/>
        <v>3</v>
      </c>
      <c r="U124" s="8" t="str">
        <f t="shared" si="85"/>
        <v>Eduardo Massa MG</v>
      </c>
      <c r="V124" s="8">
        <f t="shared" si="86"/>
        <v>0</v>
      </c>
      <c r="W124" s="8">
        <f t="shared" si="87"/>
        <v>3</v>
      </c>
    </row>
    <row r="125" spans="1:23" x14ac:dyDescent="0.25">
      <c r="A125" s="7">
        <v>15</v>
      </c>
      <c r="B125" s="18" t="str">
        <f>VLOOKUP($A125, Equipes!$A$3:$B$44, 2, FALSE)</f>
        <v>Claudio Jr MG</v>
      </c>
      <c r="C125" s="17">
        <v>3</v>
      </c>
      <c r="D125" s="19" t="s">
        <v>23</v>
      </c>
      <c r="E125" s="17">
        <v>1</v>
      </c>
      <c r="F125" s="20" t="str">
        <f>VLOOKUP($G125, Equipes!$A$3:$B$44, 2, FALSE)</f>
        <v>Kaka RJ</v>
      </c>
      <c r="G125" s="21">
        <v>16</v>
      </c>
      <c r="H125" s="18">
        <v>19</v>
      </c>
      <c r="I125" s="18" t="s">
        <v>26</v>
      </c>
      <c r="J125" s="18">
        <v>7</v>
      </c>
      <c r="K125" s="18"/>
      <c r="M125" s="8" t="str">
        <f t="shared" si="77"/>
        <v>Claudio Jr MG</v>
      </c>
      <c r="N125" s="8" t="str">
        <f t="shared" si="78"/>
        <v>Kaka RJ</v>
      </c>
      <c r="O125" s="8" t="str">
        <f t="shared" si="79"/>
        <v>Claudio Jr MG</v>
      </c>
      <c r="P125" s="8" t="str">
        <f t="shared" si="80"/>
        <v/>
      </c>
      <c r="Q125" s="8" t="str">
        <f t="shared" si="81"/>
        <v/>
      </c>
      <c r="R125" s="8" t="str">
        <f t="shared" si="82"/>
        <v>Kaka RJ</v>
      </c>
      <c r="S125" s="8" t="str">
        <f t="shared" si="83"/>
        <v>Claudio Jr MG</v>
      </c>
      <c r="T125" s="8">
        <f t="shared" si="84"/>
        <v>3</v>
      </c>
      <c r="U125" s="8" t="str">
        <f t="shared" si="85"/>
        <v>Kaka RJ</v>
      </c>
      <c r="V125" s="8">
        <f t="shared" si="86"/>
        <v>1</v>
      </c>
      <c r="W125" s="8">
        <f t="shared" si="87"/>
        <v>3</v>
      </c>
    </row>
    <row r="126" spans="1:23" x14ac:dyDescent="0.25">
      <c r="A126" s="7">
        <v>17</v>
      </c>
      <c r="B126" s="8" t="str">
        <f>VLOOKUP($A126, Equipes!$A$3:$B$44, 2, FALSE)</f>
        <v>Almo PR</v>
      </c>
      <c r="C126" s="17">
        <v>3</v>
      </c>
      <c r="D126" s="9" t="s">
        <v>23</v>
      </c>
      <c r="E126" s="17">
        <v>4</v>
      </c>
      <c r="F126" s="10" t="str">
        <f>VLOOKUP($G126, Equipes!$A$3:$B$44, 2, FALSE)</f>
        <v>Afonso SP</v>
      </c>
      <c r="G126" s="7">
        <v>19</v>
      </c>
      <c r="H126" s="8">
        <v>20</v>
      </c>
      <c r="I126" s="8" t="s">
        <v>26</v>
      </c>
      <c r="J126" s="8">
        <v>7</v>
      </c>
      <c r="M126" s="8" t="str">
        <f t="shared" si="77"/>
        <v>Almo PR</v>
      </c>
      <c r="N126" s="8" t="str">
        <f t="shared" si="78"/>
        <v>Afonso SP</v>
      </c>
      <c r="O126" s="8" t="str">
        <f t="shared" si="79"/>
        <v>Afonso SP</v>
      </c>
      <c r="P126" s="8" t="str">
        <f t="shared" si="80"/>
        <v/>
      </c>
      <c r="Q126" s="8" t="str">
        <f t="shared" si="81"/>
        <v/>
      </c>
      <c r="R126" s="8" t="str">
        <f t="shared" si="82"/>
        <v>Almo PR</v>
      </c>
      <c r="S126" s="8" t="str">
        <f t="shared" si="83"/>
        <v>Almo PR</v>
      </c>
      <c r="T126" s="8">
        <f t="shared" si="84"/>
        <v>3</v>
      </c>
      <c r="U126" s="8" t="str">
        <f t="shared" si="85"/>
        <v>Afonso SP</v>
      </c>
      <c r="V126" s="8">
        <f t="shared" si="86"/>
        <v>4</v>
      </c>
      <c r="W126" s="8">
        <f t="shared" si="87"/>
        <v>3</v>
      </c>
    </row>
    <row r="127" spans="1:23" x14ac:dyDescent="0.25">
      <c r="A127" s="7">
        <v>18</v>
      </c>
      <c r="B127" s="18" t="str">
        <f>VLOOKUP($A127, Equipes!$A$3:$B$44, 2, FALSE)</f>
        <v>Cléo Jr SP</v>
      </c>
      <c r="C127" s="17">
        <v>2</v>
      </c>
      <c r="D127" s="19" t="s">
        <v>23</v>
      </c>
      <c r="E127" s="17">
        <v>0</v>
      </c>
      <c r="F127" s="20" t="str">
        <f>VLOOKUP($G127, Equipes!$A$3:$B$44, 2, FALSE)</f>
        <v>Justa SP</v>
      </c>
      <c r="G127" s="21">
        <v>20</v>
      </c>
      <c r="H127" s="18">
        <v>21</v>
      </c>
      <c r="I127" s="18" t="s">
        <v>26</v>
      </c>
      <c r="J127" s="18">
        <v>7</v>
      </c>
      <c r="K127" s="18"/>
      <c r="M127" s="8" t="str">
        <f t="shared" si="77"/>
        <v>Cléo Jr SP</v>
      </c>
      <c r="N127" s="8" t="str">
        <f t="shared" si="78"/>
        <v>Justa SP</v>
      </c>
      <c r="O127" s="8" t="str">
        <f t="shared" si="79"/>
        <v>Cléo Jr SP</v>
      </c>
      <c r="P127" s="8" t="str">
        <f t="shared" si="80"/>
        <v/>
      </c>
      <c r="Q127" s="8" t="str">
        <f t="shared" si="81"/>
        <v/>
      </c>
      <c r="R127" s="8" t="str">
        <f t="shared" si="82"/>
        <v>Justa SP</v>
      </c>
      <c r="S127" s="8" t="str">
        <f t="shared" si="83"/>
        <v>Cléo Jr SP</v>
      </c>
      <c r="T127" s="8">
        <f t="shared" si="84"/>
        <v>2</v>
      </c>
      <c r="U127" s="8" t="str">
        <f t="shared" si="85"/>
        <v>Justa SP</v>
      </c>
      <c r="V127" s="8">
        <f t="shared" si="86"/>
        <v>0</v>
      </c>
      <c r="W127" s="8">
        <f t="shared" si="87"/>
        <v>2</v>
      </c>
    </row>
    <row r="128" spans="1:23" x14ac:dyDescent="0.25">
      <c r="A128" s="7">
        <v>22</v>
      </c>
      <c r="B128" s="8" t="str">
        <f>VLOOKUP($A128, Equipes!$A$3:$B$44, 2, FALSE)</f>
        <v>João Paulo MG</v>
      </c>
      <c r="C128" s="17">
        <v>3</v>
      </c>
      <c r="D128" s="9" t="s">
        <v>23</v>
      </c>
      <c r="E128" s="17">
        <v>1</v>
      </c>
      <c r="F128" s="10" t="str">
        <f>VLOOKUP($G128, Equipes!$A$3:$B$44, 2, FALSE)</f>
        <v>Alysson RJ</v>
      </c>
      <c r="G128" s="7">
        <v>23</v>
      </c>
      <c r="H128" s="8">
        <v>22</v>
      </c>
      <c r="I128" s="8" t="s">
        <v>18</v>
      </c>
      <c r="J128" s="8">
        <v>7</v>
      </c>
      <c r="M128" s="8" t="str">
        <f t="shared" si="77"/>
        <v>João Paulo MG</v>
      </c>
      <c r="N128" s="8" t="str">
        <f t="shared" si="78"/>
        <v>Alysson RJ</v>
      </c>
      <c r="O128" s="8" t="str">
        <f t="shared" si="79"/>
        <v>João Paulo MG</v>
      </c>
      <c r="P128" s="8" t="str">
        <f t="shared" si="80"/>
        <v/>
      </c>
      <c r="Q128" s="8" t="str">
        <f t="shared" si="81"/>
        <v/>
      </c>
      <c r="R128" s="8" t="str">
        <f t="shared" si="82"/>
        <v>Alysson RJ</v>
      </c>
      <c r="S128" s="8" t="str">
        <f t="shared" si="83"/>
        <v>João Paulo MG</v>
      </c>
      <c r="T128" s="8">
        <f t="shared" si="84"/>
        <v>3</v>
      </c>
      <c r="U128" s="8" t="str">
        <f t="shared" si="85"/>
        <v>Alysson RJ</v>
      </c>
      <c r="V128" s="8">
        <f t="shared" si="86"/>
        <v>1</v>
      </c>
      <c r="W128" s="8">
        <f t="shared" si="87"/>
        <v>3</v>
      </c>
    </row>
    <row r="129" spans="1:23" x14ac:dyDescent="0.25">
      <c r="A129" s="7">
        <v>24</v>
      </c>
      <c r="B129" s="18" t="str">
        <f>VLOOKUP($A129, Equipes!$A$3:$B$44, 2, FALSE)</f>
        <v>Marcelo Baceiredo MG</v>
      </c>
      <c r="C129" s="17">
        <v>1</v>
      </c>
      <c r="D129" s="19" t="s">
        <v>23</v>
      </c>
      <c r="E129" s="17">
        <v>3</v>
      </c>
      <c r="F129" s="20" t="str">
        <f>VLOOKUP($G129, Equipes!$A$3:$B$44, 2, FALSE)</f>
        <v>Israel RJ</v>
      </c>
      <c r="G129" s="21">
        <v>26</v>
      </c>
      <c r="H129" s="18">
        <v>23</v>
      </c>
      <c r="I129" s="18" t="s">
        <v>18</v>
      </c>
      <c r="J129" s="18">
        <v>7</v>
      </c>
      <c r="K129" s="18"/>
      <c r="M129" s="8" t="str">
        <f t="shared" si="77"/>
        <v>Marcelo Baceiredo MG</v>
      </c>
      <c r="N129" s="8" t="str">
        <f t="shared" si="78"/>
        <v>Israel RJ</v>
      </c>
      <c r="O129" s="8" t="str">
        <f t="shared" si="79"/>
        <v>Israel RJ</v>
      </c>
      <c r="P129" s="8" t="str">
        <f t="shared" si="80"/>
        <v/>
      </c>
      <c r="Q129" s="8" t="str">
        <f t="shared" si="81"/>
        <v/>
      </c>
      <c r="R129" s="8" t="str">
        <f t="shared" si="82"/>
        <v>Marcelo Baceiredo MG</v>
      </c>
      <c r="S129" s="8" t="str">
        <f t="shared" si="83"/>
        <v>Marcelo Baceiredo MG</v>
      </c>
      <c r="T129" s="8">
        <f t="shared" si="84"/>
        <v>1</v>
      </c>
      <c r="U129" s="8" t="str">
        <f t="shared" si="85"/>
        <v>Israel RJ</v>
      </c>
      <c r="V129" s="8">
        <f t="shared" si="86"/>
        <v>3</v>
      </c>
      <c r="W129" s="8">
        <f t="shared" si="87"/>
        <v>1</v>
      </c>
    </row>
    <row r="130" spans="1:23" x14ac:dyDescent="0.25">
      <c r="A130" s="7">
        <v>25</v>
      </c>
      <c r="B130" s="8" t="str">
        <f>VLOOKUP($A130, Equipes!$A$3:$B$44, 2, FALSE)</f>
        <v>Renato Souza MG</v>
      </c>
      <c r="C130" s="17">
        <v>1</v>
      </c>
      <c r="D130" s="9" t="s">
        <v>23</v>
      </c>
      <c r="E130" s="17">
        <v>2</v>
      </c>
      <c r="F130" s="10" t="str">
        <f>VLOOKUP($G130, Equipes!$A$3:$B$44, 2, FALSE)</f>
        <v>Tabajara SP</v>
      </c>
      <c r="G130" s="7">
        <v>27</v>
      </c>
      <c r="H130" s="8">
        <v>24</v>
      </c>
      <c r="I130" s="8" t="s">
        <v>18</v>
      </c>
      <c r="J130" s="8">
        <v>7</v>
      </c>
      <c r="M130" s="8" t="str">
        <f t="shared" si="77"/>
        <v>Renato Souza MG</v>
      </c>
      <c r="N130" s="8" t="str">
        <f t="shared" si="78"/>
        <v>Tabajara SP</v>
      </c>
      <c r="O130" s="8" t="str">
        <f t="shared" si="79"/>
        <v>Tabajara SP</v>
      </c>
      <c r="P130" s="8" t="str">
        <f t="shared" si="80"/>
        <v/>
      </c>
      <c r="Q130" s="8" t="str">
        <f t="shared" si="81"/>
        <v/>
      </c>
      <c r="R130" s="8" t="str">
        <f t="shared" si="82"/>
        <v>Renato Souza MG</v>
      </c>
      <c r="S130" s="8" t="str">
        <f t="shared" si="83"/>
        <v>Renato Souza MG</v>
      </c>
      <c r="T130" s="8">
        <f t="shared" si="84"/>
        <v>1</v>
      </c>
      <c r="U130" s="8" t="str">
        <f t="shared" si="85"/>
        <v>Tabajara SP</v>
      </c>
      <c r="V130" s="8">
        <f t="shared" si="86"/>
        <v>2</v>
      </c>
      <c r="W130" s="8">
        <f t="shared" si="87"/>
        <v>1</v>
      </c>
    </row>
    <row r="131" spans="1:23" x14ac:dyDescent="0.25">
      <c r="A131" s="7">
        <v>29</v>
      </c>
      <c r="B131" s="18" t="str">
        <f>VLOOKUP($A131, Equipes!$A$3:$B$44, 2, FALSE)</f>
        <v>Alex Lage MG</v>
      </c>
      <c r="C131" s="17">
        <v>6</v>
      </c>
      <c r="D131" s="19" t="s">
        <v>23</v>
      </c>
      <c r="E131" s="17">
        <v>3</v>
      </c>
      <c r="F131" s="20" t="str">
        <f>VLOOKUP($G131, Equipes!$A$3:$B$44, 2, FALSE)</f>
        <v>André Araújo AM</v>
      </c>
      <c r="G131" s="21">
        <v>30</v>
      </c>
      <c r="H131" s="18">
        <v>25</v>
      </c>
      <c r="I131" s="18" t="s">
        <v>17</v>
      </c>
      <c r="J131" s="18">
        <v>7</v>
      </c>
      <c r="K131" s="18"/>
      <c r="M131" s="8" t="str">
        <f t="shared" si="77"/>
        <v>Alex Lage MG</v>
      </c>
      <c r="N131" s="8" t="str">
        <f t="shared" si="78"/>
        <v>André Araújo AM</v>
      </c>
      <c r="O131" s="8" t="str">
        <f t="shared" si="79"/>
        <v>Alex Lage MG</v>
      </c>
      <c r="P131" s="8" t="str">
        <f t="shared" si="80"/>
        <v/>
      </c>
      <c r="Q131" s="8" t="str">
        <f t="shared" si="81"/>
        <v/>
      </c>
      <c r="R131" s="8" t="str">
        <f t="shared" si="82"/>
        <v>André Araújo AM</v>
      </c>
      <c r="S131" s="8" t="str">
        <f t="shared" si="83"/>
        <v>Alex Lage MG</v>
      </c>
      <c r="T131" s="8">
        <f t="shared" si="84"/>
        <v>6</v>
      </c>
      <c r="U131" s="8" t="str">
        <f t="shared" si="85"/>
        <v>André Araújo AM</v>
      </c>
      <c r="V131" s="8">
        <f t="shared" si="86"/>
        <v>3</v>
      </c>
      <c r="W131" s="8">
        <f t="shared" si="87"/>
        <v>6</v>
      </c>
    </row>
    <row r="132" spans="1:23" x14ac:dyDescent="0.25">
      <c r="A132" s="7">
        <v>31</v>
      </c>
      <c r="B132" s="8" t="str">
        <f>VLOOKUP($A132, Equipes!$A$3:$B$44, 2, FALSE)</f>
        <v>João Carlos RJ</v>
      </c>
      <c r="C132" s="17">
        <v>0</v>
      </c>
      <c r="D132" s="9" t="s">
        <v>23</v>
      </c>
      <c r="E132" s="17">
        <v>1</v>
      </c>
      <c r="F132" s="10" t="str">
        <f>VLOOKUP($G132, Equipes!$A$3:$B$44, 2, FALSE)</f>
        <v>Rogério MG</v>
      </c>
      <c r="G132" s="7">
        <v>33</v>
      </c>
      <c r="H132" s="8">
        <v>26</v>
      </c>
      <c r="I132" s="8" t="s">
        <v>17</v>
      </c>
      <c r="J132" s="8">
        <v>7</v>
      </c>
      <c r="M132" s="8" t="str">
        <f t="shared" si="77"/>
        <v>João Carlos RJ</v>
      </c>
      <c r="N132" s="8" t="str">
        <f t="shared" si="78"/>
        <v>Rogério MG</v>
      </c>
      <c r="O132" s="8" t="str">
        <f t="shared" si="79"/>
        <v>Rogério MG</v>
      </c>
      <c r="P132" s="8" t="str">
        <f t="shared" si="80"/>
        <v/>
      </c>
      <c r="Q132" s="8" t="str">
        <f t="shared" si="81"/>
        <v/>
      </c>
      <c r="R132" s="8" t="str">
        <f t="shared" si="82"/>
        <v>João Carlos RJ</v>
      </c>
      <c r="S132" s="8" t="str">
        <f t="shared" si="83"/>
        <v>João Carlos RJ</v>
      </c>
      <c r="T132" s="8">
        <f t="shared" si="84"/>
        <v>0</v>
      </c>
      <c r="U132" s="8" t="str">
        <f t="shared" si="85"/>
        <v>Rogério MG</v>
      </c>
      <c r="V132" s="8">
        <f t="shared" si="86"/>
        <v>1</v>
      </c>
      <c r="W132" s="8">
        <f t="shared" si="87"/>
        <v>0</v>
      </c>
    </row>
    <row r="133" spans="1:23" x14ac:dyDescent="0.25">
      <c r="A133" s="7">
        <v>32</v>
      </c>
      <c r="B133" s="18" t="str">
        <f>VLOOKUP($A133, Equipes!$A$3:$B$44, 2, FALSE)</f>
        <v>Vinicius Rolim RJ</v>
      </c>
      <c r="C133" s="17">
        <v>2</v>
      </c>
      <c r="D133" s="19" t="s">
        <v>23</v>
      </c>
      <c r="E133" s="17">
        <v>5</v>
      </c>
      <c r="F133" s="20" t="str">
        <f>VLOOKUP($G133, Equipes!$A$3:$B$44, 2, FALSE)</f>
        <v>Eduardo Rocha RJ</v>
      </c>
      <c r="G133" s="21">
        <v>34</v>
      </c>
      <c r="H133" s="18">
        <v>27</v>
      </c>
      <c r="I133" s="18" t="s">
        <v>17</v>
      </c>
      <c r="J133" s="18">
        <v>7</v>
      </c>
      <c r="K133" s="18"/>
      <c r="M133" s="8" t="str">
        <f t="shared" si="77"/>
        <v>Vinicius Rolim RJ</v>
      </c>
      <c r="N133" s="8" t="str">
        <f t="shared" si="78"/>
        <v>Eduardo Rocha RJ</v>
      </c>
      <c r="O133" s="8" t="str">
        <f t="shared" si="79"/>
        <v>Eduardo Rocha RJ</v>
      </c>
      <c r="P133" s="8" t="str">
        <f t="shared" si="80"/>
        <v/>
      </c>
      <c r="Q133" s="8" t="str">
        <f t="shared" si="81"/>
        <v/>
      </c>
      <c r="R133" s="8" t="str">
        <f t="shared" si="82"/>
        <v>Vinicius Rolim RJ</v>
      </c>
      <c r="S133" s="8" t="str">
        <f t="shared" si="83"/>
        <v>Vinicius Rolim RJ</v>
      </c>
      <c r="T133" s="8">
        <f t="shared" si="84"/>
        <v>2</v>
      </c>
      <c r="U133" s="8" t="str">
        <f t="shared" si="85"/>
        <v>Eduardo Rocha RJ</v>
      </c>
      <c r="V133" s="8">
        <f t="shared" si="86"/>
        <v>5</v>
      </c>
      <c r="W133" s="8">
        <f t="shared" si="87"/>
        <v>2</v>
      </c>
    </row>
    <row r="134" spans="1:23" x14ac:dyDescent="0.25">
      <c r="A134" s="7">
        <v>36</v>
      </c>
      <c r="B134" s="8" t="str">
        <f>VLOOKUP($A134, Equipes!$A$3:$B$44, 2, FALSE)</f>
        <v>Willow SP</v>
      </c>
      <c r="C134" s="17">
        <v>3</v>
      </c>
      <c r="D134" s="9" t="s">
        <v>23</v>
      </c>
      <c r="E134" s="17">
        <v>3</v>
      </c>
      <c r="F134" s="10" t="str">
        <f>VLOOKUP($G134, Equipes!$A$3:$B$44, 2, FALSE)</f>
        <v>Elsio SP</v>
      </c>
      <c r="G134" s="7">
        <v>37</v>
      </c>
      <c r="H134" s="8">
        <v>28</v>
      </c>
      <c r="I134" s="8" t="s">
        <v>27</v>
      </c>
      <c r="J134" s="8">
        <v>7</v>
      </c>
      <c r="M134" s="8" t="str">
        <f t="shared" si="77"/>
        <v>Willow SP</v>
      </c>
      <c r="N134" s="8" t="str">
        <f t="shared" si="78"/>
        <v>Elsio SP</v>
      </c>
      <c r="O134" s="8" t="str">
        <f t="shared" si="79"/>
        <v/>
      </c>
      <c r="P134" s="8" t="str">
        <f t="shared" si="80"/>
        <v>Willow SP</v>
      </c>
      <c r="Q134" s="8" t="str">
        <f t="shared" si="81"/>
        <v>Elsio SP</v>
      </c>
      <c r="R134" s="8" t="str">
        <f t="shared" si="82"/>
        <v/>
      </c>
      <c r="S134" s="8" t="str">
        <f t="shared" si="83"/>
        <v>Willow SP</v>
      </c>
      <c r="T134" s="8">
        <f t="shared" si="84"/>
        <v>3</v>
      </c>
      <c r="U134" s="8" t="str">
        <f t="shared" si="85"/>
        <v>Elsio SP</v>
      </c>
      <c r="V134" s="8">
        <f t="shared" si="86"/>
        <v>3</v>
      </c>
      <c r="W134" s="8">
        <f t="shared" si="87"/>
        <v>3</v>
      </c>
    </row>
    <row r="135" spans="1:23" x14ac:dyDescent="0.25">
      <c r="A135" s="7">
        <v>38</v>
      </c>
      <c r="B135" s="18" t="str">
        <f>VLOOKUP($A135, Equipes!$A$3:$B$44, 2, FALSE)</f>
        <v>João Marcelo MG</v>
      </c>
      <c r="C135" s="17">
        <v>1</v>
      </c>
      <c r="D135" s="19" t="s">
        <v>23</v>
      </c>
      <c r="E135" s="17">
        <v>3</v>
      </c>
      <c r="F135" s="20" t="str">
        <f>VLOOKUP($G135, Equipes!$A$3:$B$44, 2, FALSE)</f>
        <v>Marcelo Aranha SP</v>
      </c>
      <c r="G135" s="21">
        <v>40</v>
      </c>
      <c r="H135" s="18">
        <v>29</v>
      </c>
      <c r="I135" s="18" t="s">
        <v>27</v>
      </c>
      <c r="J135" s="18">
        <v>7</v>
      </c>
      <c r="K135" s="18"/>
      <c r="M135" s="8" t="str">
        <f t="shared" si="77"/>
        <v>João Marcelo MG</v>
      </c>
      <c r="N135" s="8" t="str">
        <f t="shared" si="78"/>
        <v>Marcelo Aranha SP</v>
      </c>
      <c r="O135" s="8" t="str">
        <f t="shared" si="79"/>
        <v>Marcelo Aranha SP</v>
      </c>
      <c r="P135" s="8" t="str">
        <f t="shared" si="80"/>
        <v/>
      </c>
      <c r="Q135" s="8" t="str">
        <f t="shared" si="81"/>
        <v/>
      </c>
      <c r="R135" s="8" t="str">
        <f t="shared" si="82"/>
        <v>João Marcelo MG</v>
      </c>
      <c r="S135" s="8" t="str">
        <f t="shared" si="83"/>
        <v>João Marcelo MG</v>
      </c>
      <c r="T135" s="8">
        <f t="shared" si="84"/>
        <v>1</v>
      </c>
      <c r="U135" s="8" t="str">
        <f t="shared" si="85"/>
        <v>Marcelo Aranha SP</v>
      </c>
      <c r="V135" s="8">
        <f t="shared" si="86"/>
        <v>3</v>
      </c>
      <c r="W135" s="8">
        <f t="shared" si="87"/>
        <v>1</v>
      </c>
    </row>
    <row r="136" spans="1:23" x14ac:dyDescent="0.25">
      <c r="A136" s="7">
        <v>39</v>
      </c>
      <c r="B136" s="8" t="str">
        <f>VLOOKUP($A136, Equipes!$A$3:$B$44, 2, FALSE)</f>
        <v>Vitor Luiz</v>
      </c>
      <c r="C136" s="17">
        <v>3</v>
      </c>
      <c r="D136" s="9" t="s">
        <v>23</v>
      </c>
      <c r="E136" s="17">
        <v>2</v>
      </c>
      <c r="F136" s="10" t="str">
        <f>VLOOKUP($G136, Equipes!$A$3:$B$44, 2, FALSE)</f>
        <v>Tavares RJ</v>
      </c>
      <c r="G136" s="7">
        <v>41</v>
      </c>
      <c r="H136" s="8">
        <v>30</v>
      </c>
      <c r="I136" s="8" t="s">
        <v>27</v>
      </c>
      <c r="J136" s="8">
        <v>7</v>
      </c>
      <c r="M136" s="8" t="str">
        <f t="shared" si="77"/>
        <v>Vitor Luiz</v>
      </c>
      <c r="N136" s="8" t="str">
        <f t="shared" si="78"/>
        <v>Tavares RJ</v>
      </c>
      <c r="O136" s="8" t="str">
        <f t="shared" si="79"/>
        <v>Vitor Luiz</v>
      </c>
      <c r="P136" s="8" t="str">
        <f t="shared" si="80"/>
        <v/>
      </c>
      <c r="Q136" s="8" t="str">
        <f t="shared" si="81"/>
        <v/>
      </c>
      <c r="R136" s="8" t="str">
        <f t="shared" si="82"/>
        <v>Tavares RJ</v>
      </c>
      <c r="S136" s="8" t="str">
        <f t="shared" si="83"/>
        <v>Vitor Luiz</v>
      </c>
      <c r="T136" s="8">
        <f t="shared" si="84"/>
        <v>3</v>
      </c>
      <c r="U136" s="8" t="str">
        <f t="shared" si="85"/>
        <v>Tavares RJ</v>
      </c>
      <c r="V136" s="8">
        <f t="shared" si="86"/>
        <v>2</v>
      </c>
      <c r="W136" s="8">
        <f t="shared" si="87"/>
        <v>3</v>
      </c>
    </row>
  </sheetData>
  <sheetProtection algorithmName="SHA-512" hashValue="7Pk5Fgi5ly/d6ZvpomBFGdw34ghwnZYBfb8Dd0bMA7hImKhBpPSmUvyp93FJFl2uYiSp4bRSO6xCUBWnqo7i5g==" saltValue="DUTNhXZojO/AOT/MKk9pEA==" spinCount="100000" sheet="1" objects="1" scenarios="1" selectLockedCells="1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4AC26-C4B8-428A-88B5-D08397BB622E}">
  <dimension ref="A1:AA113"/>
  <sheetViews>
    <sheetView showGridLines="0" workbookViewId="0">
      <pane ySplit="1" topLeftCell="A83" activePane="bottomLeft" state="frozen"/>
      <selection pane="bottomLeft" activeCell="E104" sqref="E104"/>
    </sheetView>
  </sheetViews>
  <sheetFormatPr defaultRowHeight="10.5" x14ac:dyDescent="0.15"/>
  <cols>
    <col min="1" max="1" width="5" style="23" customWidth="1"/>
    <col min="2" max="2" width="3.5703125" style="23" customWidth="1"/>
    <col min="3" max="3" width="7.140625" style="23" customWidth="1"/>
    <col min="4" max="4" width="20.7109375" style="24" customWidth="1"/>
    <col min="5" max="13" width="7.140625" style="23" customWidth="1"/>
    <col min="14" max="14" width="10.7109375" style="23" customWidth="1"/>
    <col min="15" max="17" width="9.140625" style="25"/>
    <col min="18" max="26" width="7.140625" style="22" customWidth="1"/>
    <col min="27" max="27" width="10.7109375" style="22" customWidth="1"/>
    <col min="28" max="16384" width="9.140625" style="22"/>
  </cols>
  <sheetData>
    <row r="1" spans="1:27" ht="20.25" x14ac:dyDescent="0.3">
      <c r="B1" s="2" t="s">
        <v>35</v>
      </c>
      <c r="S1" s="22" t="s">
        <v>44</v>
      </c>
    </row>
    <row r="2" spans="1:27" ht="12.75" x14ac:dyDescent="0.2">
      <c r="B2" s="3" t="s">
        <v>1</v>
      </c>
      <c r="S2" s="22">
        <f>SUM($G$6:$G$57)</f>
        <v>252</v>
      </c>
    </row>
    <row r="3" spans="1:27" x14ac:dyDescent="0.15">
      <c r="E3" s="26">
        <v>100000000</v>
      </c>
      <c r="F3" s="26">
        <v>100000</v>
      </c>
      <c r="H3" s="26">
        <v>10000</v>
      </c>
      <c r="K3" s="26">
        <v>1</v>
      </c>
      <c r="M3" s="26">
        <v>100</v>
      </c>
      <c r="R3" s="26">
        <v>100000000</v>
      </c>
      <c r="S3" s="26">
        <v>100000</v>
      </c>
      <c r="T3" s="23"/>
      <c r="U3" s="26">
        <v>10000</v>
      </c>
      <c r="V3" s="23"/>
      <c r="W3" s="23"/>
      <c r="X3" s="26">
        <v>1</v>
      </c>
      <c r="Y3" s="23"/>
      <c r="Z3" s="26">
        <v>100</v>
      </c>
      <c r="AA3" s="23"/>
    </row>
    <row r="4" spans="1:27" x14ac:dyDescent="0.15">
      <c r="T4" s="92">
        <v>4</v>
      </c>
      <c r="U4" s="92">
        <v>5</v>
      </c>
      <c r="V4" s="92">
        <v>6</v>
      </c>
      <c r="W4" s="92">
        <v>7</v>
      </c>
      <c r="X4" s="92">
        <v>8</v>
      </c>
      <c r="Y4" s="92">
        <v>9</v>
      </c>
    </row>
    <row r="5" spans="1:27" ht="25.5" x14ac:dyDescent="0.5">
      <c r="A5" s="23" t="s">
        <v>36</v>
      </c>
      <c r="B5" s="23" t="s">
        <v>24</v>
      </c>
      <c r="C5" s="27" t="s">
        <v>24</v>
      </c>
      <c r="D5" s="28" t="s">
        <v>37</v>
      </c>
      <c r="E5" s="30" t="s">
        <v>38</v>
      </c>
      <c r="F5" s="30" t="s">
        <v>39</v>
      </c>
      <c r="G5" s="30" t="s">
        <v>15</v>
      </c>
      <c r="H5" s="30" t="s">
        <v>16</v>
      </c>
      <c r="I5" s="30" t="s">
        <v>17</v>
      </c>
      <c r="J5" s="30" t="s">
        <v>18</v>
      </c>
      <c r="K5" s="30" t="s">
        <v>40</v>
      </c>
      <c r="L5" s="30" t="s">
        <v>41</v>
      </c>
      <c r="M5" s="30" t="s">
        <v>42</v>
      </c>
      <c r="N5" s="29" t="s">
        <v>43</v>
      </c>
      <c r="R5" s="30" t="s">
        <v>38</v>
      </c>
      <c r="S5" s="30" t="s">
        <v>39</v>
      </c>
      <c r="T5" s="30" t="s">
        <v>15</v>
      </c>
      <c r="U5" s="30" t="s">
        <v>16</v>
      </c>
      <c r="V5" s="30" t="s">
        <v>17</v>
      </c>
      <c r="W5" s="30" t="s">
        <v>18</v>
      </c>
      <c r="X5" s="30" t="s">
        <v>40</v>
      </c>
      <c r="Y5" s="30" t="s">
        <v>41</v>
      </c>
      <c r="Z5" s="30" t="s">
        <v>42</v>
      </c>
      <c r="AA5" s="29" t="s">
        <v>43</v>
      </c>
    </row>
    <row r="6" spans="1:27" x14ac:dyDescent="0.15">
      <c r="A6" s="23" t="str">
        <f t="shared" ref="A6:A12" ca="1" si="0">CONCATENATE(C6,B6)</f>
        <v>1A</v>
      </c>
      <c r="B6" s="23" t="s">
        <v>24</v>
      </c>
      <c r="C6" s="23">
        <f t="shared" ref="C6:C12" ca="1" si="1">IF(SUM($G$6:$G$12)=0,0,_xlfn.RANK.EQ(N6,$N$6:$N$12))</f>
        <v>1</v>
      </c>
      <c r="D6" s="24" t="str">
        <f>VLOOKUP($O6, Equipes!$A$3:$B$44, 2, FALSE)</f>
        <v>Gabriel RJ</v>
      </c>
      <c r="E6" s="31">
        <f t="shared" ref="E6:E12" si="2">IF(G6=0,0,(F6)/(G6*3))</f>
        <v>1</v>
      </c>
      <c r="F6" s="23">
        <f t="shared" ref="F6:F12" si="3">(H6*3)+(I6*1)</f>
        <v>18</v>
      </c>
      <c r="G6" s="23">
        <f>COUNTIF(Jogos!$M$1:$N$136, $D6)</f>
        <v>6</v>
      </c>
      <c r="H6" s="23">
        <f>COUNTIF(Jogos!$O$1:$O$136, $D6)</f>
        <v>6</v>
      </c>
      <c r="I6" s="23">
        <f>COUNTIF(Jogos!$P$1:$Q$136, $D6)</f>
        <v>0</v>
      </c>
      <c r="J6" s="23">
        <f>COUNTIF(Jogos!$R$1:$R$136, $D6)</f>
        <v>0</v>
      </c>
      <c r="K6" s="23">
        <f ca="1">SUMIF(Jogos!$S$1:$T$136, $D6, Jogos!$T$1:$T$136)+SUMIF(Jogos!$U$1:$V$136, $D6, Jogos!$V$1:$V$136)</f>
        <v>18</v>
      </c>
      <c r="L6" s="23">
        <f ca="1">SUMIF(Jogos!$S$1:$V$136, $D6, Jogos!$V$1:$V$136)+SUMIF(Jogos!$U$1:$W$136, $D6, Jogos!$W$1:$W$136)</f>
        <v>6</v>
      </c>
      <c r="M6" s="23">
        <f t="shared" ref="M6:M12" ca="1" si="4">K6-L6</f>
        <v>12</v>
      </c>
      <c r="N6" s="23">
        <f t="shared" ref="N6:N12" ca="1" si="5">(E6*E$3+F6*F$3+H6*H$3+M6*M$3+K6*K$3)/(E$3/100)-ROW(N6)/E$3</f>
        <v>101.86121793999999</v>
      </c>
      <c r="O6" s="25">
        <v>1</v>
      </c>
      <c r="P6" s="25">
        <f t="shared" ref="P6:P12" ca="1" si="6">(E6*E$3+F6*F$3+H6*H$3+M6*M$3+K6*K$3)/(E$3/100)</f>
        <v>101.86121799999999</v>
      </c>
      <c r="Q6" s="25">
        <f t="shared" ref="Q6:Q12" ca="1" si="7">IF(SUM($G$6:$G$12)=0,0,_xlfn.RANK.EQ(P6,$P$6:$P$12))</f>
        <v>1</v>
      </c>
      <c r="R6" s="31">
        <f t="shared" ref="R6" si="8">IF(T6=0,0,(S6)/(T6*3))</f>
        <v>0.7407407407407407</v>
      </c>
      <c r="S6" s="23">
        <f t="shared" ref="S6" si="9">(U6*3)+(V6*1)</f>
        <v>40</v>
      </c>
      <c r="T6" s="22">
        <f>G6+ IFERROR(VLOOKUP($D6,[1]ClassGrupFases!$D$6:$N$111,T$4,FALSE),0)+IFERROR(VLOOKUP($D6,[2]ClassGrupFases!$D$6:$N$219,T$4,FALSE),0)</f>
        <v>18</v>
      </c>
      <c r="U6" s="22">
        <f>H6+ IFERROR(VLOOKUP($D6,[1]ClassGrupFases!$D$6:$N$111,U$4,FALSE),0)+IFERROR(VLOOKUP($D6,[2]ClassGrupFases!$D$6:$N$219,U$4,FALSE),0)</f>
        <v>13</v>
      </c>
      <c r="V6" s="22">
        <f>I6+ IFERROR(VLOOKUP($D6,[1]ClassGrupFases!$D$6:$N$111,V$4,FALSE),0)+IFERROR(VLOOKUP($D6,[2]ClassGrupFases!$D$6:$N$219,V$4,FALSE),0)</f>
        <v>1</v>
      </c>
      <c r="W6" s="22">
        <f>J6+ IFERROR(VLOOKUP($D6,[1]ClassGrupFases!$D$6:$N$111,W$4,FALSE),0)+IFERROR(VLOOKUP($D6,[2]ClassGrupFases!$D$6:$N$219,W$4,FALSE),0)</f>
        <v>4</v>
      </c>
      <c r="X6" s="22">
        <f ca="1">K6+ IFERROR(VLOOKUP($D6,[1]ClassGrupFases!$D$6:$N$111,X$4,FALSE),0)+IFERROR(VLOOKUP($D6,[2]ClassGrupFases!$D$6:$N$219,X$4,FALSE),0)</f>
        <v>49</v>
      </c>
      <c r="Y6" s="22">
        <f ca="1">L6+ IFERROR(VLOOKUP($D6,[1]ClassGrupFases!$D$6:$N$111,Y$4,FALSE),0)+IFERROR(VLOOKUP($D6,[2]ClassGrupFases!$D$6:$N$219,Y$4,FALSE),0)</f>
        <v>34</v>
      </c>
      <c r="Z6" s="23">
        <f t="shared" ref="Z6" ca="1" si="10">X6-Y6</f>
        <v>15</v>
      </c>
      <c r="AA6" s="23">
        <f t="shared" ref="AA6" ca="1" si="11">(R6*R$3+S6*S$3+U6*U$3+Z6*Z$3+X6*X$3)/(R$3/100)-ROW(AA6)/R$3</f>
        <v>78.205623014074064</v>
      </c>
    </row>
    <row r="7" spans="1:27" x14ac:dyDescent="0.15">
      <c r="A7" s="23" t="str">
        <f t="shared" ca="1" si="0"/>
        <v>5A</v>
      </c>
      <c r="B7" s="23" t="s">
        <v>24</v>
      </c>
      <c r="C7" s="23">
        <f t="shared" ca="1" si="1"/>
        <v>5</v>
      </c>
      <c r="D7" s="24" t="str">
        <f>VLOOKUP($O7, Equipes!$A$3:$B$44, 2, FALSE)</f>
        <v>Mário Bürguel RS</v>
      </c>
      <c r="E7" s="31">
        <f t="shared" si="2"/>
        <v>0.33333333333333331</v>
      </c>
      <c r="F7" s="23">
        <f t="shared" si="3"/>
        <v>6</v>
      </c>
      <c r="G7" s="23">
        <f>COUNTIF(Jogos!$M$1:$N$136, $D7)</f>
        <v>6</v>
      </c>
      <c r="H7" s="23">
        <f>COUNTIF(Jogos!$O$1:$O$136, $D7)</f>
        <v>2</v>
      </c>
      <c r="I7" s="23">
        <f>COUNTIF(Jogos!$P$1:$Q$136, $D7)</f>
        <v>0</v>
      </c>
      <c r="J7" s="23">
        <f>COUNTIF(Jogos!$R$1:$R$136, $D7)</f>
        <v>4</v>
      </c>
      <c r="K7" s="23">
        <f ca="1">SUMIF(Jogos!$S$1:$T$136, $D7, Jogos!$T$1:$T$136)+SUMIF(Jogos!$U$1:$V$136, $D7, Jogos!$V$1:$V$136)</f>
        <v>6</v>
      </c>
      <c r="L7" s="23">
        <f ca="1">SUMIF(Jogos!$S$1:$V$136, $D7, Jogos!$V$1:$V$136)+SUMIF(Jogos!$U$1:$W$136, $D7, Jogos!$W$1:$W$136)</f>
        <v>12</v>
      </c>
      <c r="M7" s="23">
        <f t="shared" ca="1" si="4"/>
        <v>-6</v>
      </c>
      <c r="N7" s="23">
        <f t="shared" ca="1" si="5"/>
        <v>33.952739263333328</v>
      </c>
      <c r="O7" s="25">
        <v>2</v>
      </c>
      <c r="P7" s="25">
        <f t="shared" ca="1" si="6"/>
        <v>33.952739333333326</v>
      </c>
      <c r="Q7" s="25">
        <f t="shared" ca="1" si="7"/>
        <v>5</v>
      </c>
      <c r="R7" s="31">
        <f t="shared" ref="R7:R12" si="12">IF(T7=0,0,(S7)/(T7*3))</f>
        <v>0.44444444444444442</v>
      </c>
      <c r="S7" s="23">
        <f t="shared" ref="S7:S12" si="13">(U7*3)+(V7*1)</f>
        <v>24</v>
      </c>
      <c r="T7" s="22">
        <f>G7+ IFERROR(VLOOKUP($D7,[1]ClassGrupFases!$D$6:$N$111,T$4,FALSE),0)+IFERROR(VLOOKUP($D7,[2]ClassGrupFases!$D$6:$N$219,T$4,FALSE),0)</f>
        <v>18</v>
      </c>
      <c r="U7" s="22">
        <f>H7+ IFERROR(VLOOKUP($D7,[1]ClassGrupFases!$D$6:$N$111,U$4,FALSE),0)+IFERROR(VLOOKUP($D7,[2]ClassGrupFases!$D$6:$N$219,U$4,FALSE),0)</f>
        <v>7</v>
      </c>
      <c r="V7" s="22">
        <f>I7+ IFERROR(VLOOKUP($D7,[1]ClassGrupFases!$D$6:$N$111,V$4,FALSE),0)+IFERROR(VLOOKUP($D7,[2]ClassGrupFases!$D$6:$N$219,V$4,FALSE),0)</f>
        <v>3</v>
      </c>
      <c r="W7" s="22">
        <f>J7+ IFERROR(VLOOKUP($D7,[1]ClassGrupFases!$D$6:$N$111,W$4,FALSE),0)+IFERROR(VLOOKUP($D7,[2]ClassGrupFases!$D$6:$N$219,W$4,FALSE),0)</f>
        <v>8</v>
      </c>
      <c r="X7" s="22">
        <f ca="1">K7+ IFERROR(VLOOKUP($D7,[1]ClassGrupFases!$D$6:$N$111,X$4,FALSE),0)+IFERROR(VLOOKUP($D7,[2]ClassGrupFases!$D$6:$N$219,X$4,FALSE),0)</f>
        <v>31</v>
      </c>
      <c r="Y7" s="22">
        <f ca="1">L7+ IFERROR(VLOOKUP($D7,[1]ClassGrupFases!$D$6:$N$111,Y$4,FALSE),0)+IFERROR(VLOOKUP($D7,[2]ClassGrupFases!$D$6:$N$219,Y$4,FALSE),0)</f>
        <v>41</v>
      </c>
      <c r="Z7" s="23">
        <f t="shared" ref="Z7:Z12" ca="1" si="14">X7-Y7</f>
        <v>-10</v>
      </c>
      <c r="AA7" s="23">
        <f t="shared" ref="AA7:AA12" ca="1" si="15">(R7*R$3+S7*S$3+U7*U$3+Z7*Z$3+X7*X$3)/(R$3/100)-ROW(AA7)/R$3</f>
        <v>46.913475374444438</v>
      </c>
    </row>
    <row r="8" spans="1:27" x14ac:dyDescent="0.15">
      <c r="A8" s="23" t="str">
        <f t="shared" ca="1" si="0"/>
        <v>6A</v>
      </c>
      <c r="B8" s="23" t="s">
        <v>24</v>
      </c>
      <c r="C8" s="23">
        <f t="shared" ca="1" si="1"/>
        <v>6</v>
      </c>
      <c r="D8" s="24" t="str">
        <f>VLOOKUP($O8, Equipes!$A$3:$B$44, 2, FALSE)</f>
        <v>Dudu RJ</v>
      </c>
      <c r="E8" s="31">
        <f t="shared" si="2"/>
        <v>0.22222222222222221</v>
      </c>
      <c r="F8" s="23">
        <f t="shared" si="3"/>
        <v>4</v>
      </c>
      <c r="G8" s="23">
        <f>COUNTIF(Jogos!$M$1:$N$136, $D8)</f>
        <v>6</v>
      </c>
      <c r="H8" s="23">
        <f>COUNTIF(Jogos!$O$1:$O$136, $D8)</f>
        <v>1</v>
      </c>
      <c r="I8" s="23">
        <f>COUNTIF(Jogos!$P$1:$Q$136, $D8)</f>
        <v>1</v>
      </c>
      <c r="J8" s="23">
        <f>COUNTIF(Jogos!$R$1:$R$136, $D8)</f>
        <v>4</v>
      </c>
      <c r="K8" s="23">
        <f ca="1">SUMIF(Jogos!$S$1:$T$136, $D8, Jogos!$T$1:$T$136)+SUMIF(Jogos!$U$1:$V$136, $D8, Jogos!$V$1:$V$136)</f>
        <v>5</v>
      </c>
      <c r="L8" s="23">
        <f ca="1">SUMIF(Jogos!$S$1:$V$136, $D8, Jogos!$V$1:$V$136)+SUMIF(Jogos!$U$1:$W$136, $D8, Jogos!$W$1:$W$136)</f>
        <v>10</v>
      </c>
      <c r="M8" s="23">
        <f t="shared" ca="1" si="4"/>
        <v>-5</v>
      </c>
      <c r="N8" s="23">
        <f t="shared" ca="1" si="5"/>
        <v>22.631727142222221</v>
      </c>
      <c r="O8" s="25">
        <v>3</v>
      </c>
      <c r="P8" s="25">
        <f t="shared" ca="1" si="6"/>
        <v>22.631727222222221</v>
      </c>
      <c r="Q8" s="25">
        <f t="shared" ca="1" si="7"/>
        <v>6</v>
      </c>
      <c r="R8" s="31">
        <f t="shared" si="12"/>
        <v>0.37037037037037035</v>
      </c>
      <c r="S8" s="23">
        <f t="shared" si="13"/>
        <v>20</v>
      </c>
      <c r="T8" s="22">
        <f>G8+ IFERROR(VLOOKUP($D8,[1]ClassGrupFases!$D$6:$N$111,T$4,FALSE),0)+IFERROR(VLOOKUP($D8,[2]ClassGrupFases!$D$6:$N$219,T$4,FALSE),0)</f>
        <v>18</v>
      </c>
      <c r="U8" s="22">
        <f>H8+ IFERROR(VLOOKUP($D8,[1]ClassGrupFases!$D$6:$N$111,U$4,FALSE),0)+IFERROR(VLOOKUP($D8,[2]ClassGrupFases!$D$6:$N$219,U$4,FALSE),0)</f>
        <v>6</v>
      </c>
      <c r="V8" s="22">
        <f>I8+ IFERROR(VLOOKUP($D8,[1]ClassGrupFases!$D$6:$N$111,V$4,FALSE),0)+IFERROR(VLOOKUP($D8,[2]ClassGrupFases!$D$6:$N$219,V$4,FALSE),0)</f>
        <v>2</v>
      </c>
      <c r="W8" s="22">
        <f>J8+ IFERROR(VLOOKUP($D8,[1]ClassGrupFases!$D$6:$N$111,W$4,FALSE),0)+IFERROR(VLOOKUP($D8,[2]ClassGrupFases!$D$6:$N$219,W$4,FALSE),0)</f>
        <v>10</v>
      </c>
      <c r="X8" s="22">
        <f ca="1">K8+ IFERROR(VLOOKUP($D8,[1]ClassGrupFases!$D$6:$N$111,X$4,FALSE),0)+IFERROR(VLOOKUP($D8,[2]ClassGrupFases!$D$6:$N$219,X$4,FALSE),0)</f>
        <v>24</v>
      </c>
      <c r="Y8" s="22">
        <f ca="1">L8+ IFERROR(VLOOKUP($D8,[1]ClassGrupFases!$D$6:$N$111,Y$4,FALSE),0)+IFERROR(VLOOKUP($D8,[2]ClassGrupFases!$D$6:$N$219,Y$4,FALSE),0)</f>
        <v>30</v>
      </c>
      <c r="Z8" s="23">
        <f t="shared" ca="1" si="14"/>
        <v>-6</v>
      </c>
      <c r="AA8" s="23">
        <f t="shared" ca="1" si="15"/>
        <v>39.096460957037038</v>
      </c>
    </row>
    <row r="9" spans="1:27" x14ac:dyDescent="0.15">
      <c r="A9" s="23" t="str">
        <f t="shared" ca="1" si="0"/>
        <v>3A</v>
      </c>
      <c r="B9" s="23" t="s">
        <v>24</v>
      </c>
      <c r="C9" s="23">
        <f t="shared" ca="1" si="1"/>
        <v>3</v>
      </c>
      <c r="D9" s="24" t="str">
        <f>VLOOKUP($O9, Equipes!$A$3:$B$44, 2, FALSE)</f>
        <v>Pablo Martins RJ</v>
      </c>
      <c r="E9" s="31">
        <f t="shared" si="2"/>
        <v>0.55555555555555558</v>
      </c>
      <c r="F9" s="23">
        <f t="shared" si="3"/>
        <v>10</v>
      </c>
      <c r="G9" s="23">
        <f>COUNTIF(Jogos!$M$1:$N$136, $D9)</f>
        <v>6</v>
      </c>
      <c r="H9" s="23">
        <f>COUNTIF(Jogos!$O$1:$O$136, $D9)</f>
        <v>3</v>
      </c>
      <c r="I9" s="23">
        <f>COUNTIF(Jogos!$P$1:$Q$136, $D9)</f>
        <v>1</v>
      </c>
      <c r="J9" s="23">
        <f>COUNTIF(Jogos!$R$1:$R$136, $D9)</f>
        <v>2</v>
      </c>
      <c r="K9" s="23">
        <f ca="1">SUMIF(Jogos!$S$1:$T$136, $D9, Jogos!$T$1:$T$136)+SUMIF(Jogos!$U$1:$V$136, $D9, Jogos!$V$1:$V$136)</f>
        <v>9</v>
      </c>
      <c r="L9" s="23">
        <f ca="1">SUMIF(Jogos!$S$1:$V$136, $D9, Jogos!$V$1:$V$136)+SUMIF(Jogos!$U$1:$W$136, $D9, Jogos!$W$1:$W$136)</f>
        <v>8</v>
      </c>
      <c r="M9" s="23">
        <f t="shared" ca="1" si="4"/>
        <v>1</v>
      </c>
      <c r="N9" s="23">
        <f t="shared" ca="1" si="5"/>
        <v>56.58566446555556</v>
      </c>
      <c r="O9" s="25">
        <v>4</v>
      </c>
      <c r="P9" s="25">
        <f t="shared" ca="1" si="6"/>
        <v>56.58566455555556</v>
      </c>
      <c r="Q9" s="25">
        <f t="shared" ca="1" si="7"/>
        <v>3</v>
      </c>
      <c r="R9" s="31">
        <f t="shared" si="12"/>
        <v>0.51851851851851849</v>
      </c>
      <c r="S9" s="23">
        <f t="shared" si="13"/>
        <v>28</v>
      </c>
      <c r="T9" s="22">
        <f>G9+ IFERROR(VLOOKUP($D9,[1]ClassGrupFases!$D$6:$N$111,T$4,FALSE),0)+IFERROR(VLOOKUP($D9,[2]ClassGrupFases!$D$6:$N$219,T$4,FALSE),0)</f>
        <v>18</v>
      </c>
      <c r="U9" s="22">
        <f>H9+ IFERROR(VLOOKUP($D9,[1]ClassGrupFases!$D$6:$N$111,U$4,FALSE),0)+IFERROR(VLOOKUP($D9,[2]ClassGrupFases!$D$6:$N$219,U$4,FALSE),0)</f>
        <v>8</v>
      </c>
      <c r="V9" s="22">
        <f>I9+ IFERROR(VLOOKUP($D9,[1]ClassGrupFases!$D$6:$N$111,V$4,FALSE),0)+IFERROR(VLOOKUP($D9,[2]ClassGrupFases!$D$6:$N$219,V$4,FALSE),0)</f>
        <v>4</v>
      </c>
      <c r="W9" s="22">
        <f>J9+ IFERROR(VLOOKUP($D9,[1]ClassGrupFases!$D$6:$N$111,W$4,FALSE),0)+IFERROR(VLOOKUP($D9,[2]ClassGrupFases!$D$6:$N$219,W$4,FALSE),0)</f>
        <v>6</v>
      </c>
      <c r="X9" s="22">
        <f ca="1">K9+ IFERROR(VLOOKUP($D9,[1]ClassGrupFases!$D$6:$N$111,X$4,FALSE),0)+IFERROR(VLOOKUP($D9,[2]ClassGrupFases!$D$6:$N$219,X$4,FALSE),0)</f>
        <v>32</v>
      </c>
      <c r="Y9" s="22">
        <f ca="1">L9+ IFERROR(VLOOKUP($D9,[1]ClassGrupFases!$D$6:$N$111,Y$4,FALSE),0)+IFERROR(VLOOKUP($D9,[2]ClassGrupFases!$D$6:$N$219,Y$4,FALSE),0)</f>
        <v>28</v>
      </c>
      <c r="Z9" s="23">
        <f t="shared" ca="1" si="14"/>
        <v>4</v>
      </c>
      <c r="AA9" s="23">
        <f t="shared" ca="1" si="15"/>
        <v>54.732283761851853</v>
      </c>
    </row>
    <row r="10" spans="1:27" x14ac:dyDescent="0.15">
      <c r="A10" s="23" t="str">
        <f t="shared" ca="1" si="0"/>
        <v>2A</v>
      </c>
      <c r="B10" s="23" t="s">
        <v>24</v>
      </c>
      <c r="C10" s="23">
        <f t="shared" ca="1" si="1"/>
        <v>2</v>
      </c>
      <c r="D10" s="24" t="str">
        <f>VLOOKUP($O10, Equipes!$A$3:$B$44, 2, FALSE)</f>
        <v>Thiago Matoso RJ</v>
      </c>
      <c r="E10" s="31">
        <f t="shared" si="2"/>
        <v>0.72222222222222221</v>
      </c>
      <c r="F10" s="23">
        <f t="shared" si="3"/>
        <v>13</v>
      </c>
      <c r="G10" s="23">
        <f>COUNTIF(Jogos!$M$1:$N$136, $D10)</f>
        <v>6</v>
      </c>
      <c r="H10" s="23">
        <f>COUNTIF(Jogos!$O$1:$O$136, $D10)</f>
        <v>4</v>
      </c>
      <c r="I10" s="23">
        <f>COUNTIF(Jogos!$P$1:$Q$136, $D10)</f>
        <v>1</v>
      </c>
      <c r="J10" s="23">
        <f>COUNTIF(Jogos!$R$1:$R$136, $D10)</f>
        <v>1</v>
      </c>
      <c r="K10" s="23">
        <f ca="1">SUMIF(Jogos!$S$1:$T$136, $D10, Jogos!$T$1:$T$136)+SUMIF(Jogos!$U$1:$V$136, $D10, Jogos!$V$1:$V$136)</f>
        <v>11</v>
      </c>
      <c r="L10" s="23">
        <f ca="1">SUMIF(Jogos!$S$1:$V$136, $D10, Jogos!$V$1:$V$136)+SUMIF(Jogos!$U$1:$W$136, $D10, Jogos!$W$1:$W$136)</f>
        <v>8</v>
      </c>
      <c r="M10" s="23">
        <f t="shared" ca="1" si="4"/>
        <v>3</v>
      </c>
      <c r="N10" s="23">
        <f t="shared" ca="1" si="5"/>
        <v>73.562533122222234</v>
      </c>
      <c r="O10" s="25">
        <v>5</v>
      </c>
      <c r="P10" s="25">
        <f t="shared" ca="1" si="6"/>
        <v>73.562533222222228</v>
      </c>
      <c r="Q10" s="25">
        <f t="shared" ca="1" si="7"/>
        <v>2</v>
      </c>
      <c r="R10" s="31">
        <f t="shared" si="12"/>
        <v>0.66666666666666663</v>
      </c>
      <c r="S10" s="23">
        <f t="shared" si="13"/>
        <v>36</v>
      </c>
      <c r="T10" s="22">
        <f>G10+ IFERROR(VLOOKUP($D10,[1]ClassGrupFases!$D$6:$N$111,T$4,FALSE),0)+IFERROR(VLOOKUP($D10,[2]ClassGrupFases!$D$6:$N$219,T$4,FALSE),0)</f>
        <v>18</v>
      </c>
      <c r="U10" s="22">
        <f>H10+ IFERROR(VLOOKUP($D10,[1]ClassGrupFases!$D$6:$N$111,U$4,FALSE),0)+IFERROR(VLOOKUP($D10,[2]ClassGrupFases!$D$6:$N$219,U$4,FALSE),0)</f>
        <v>11</v>
      </c>
      <c r="V10" s="22">
        <f>I10+ IFERROR(VLOOKUP($D10,[1]ClassGrupFases!$D$6:$N$111,V$4,FALSE),0)+IFERROR(VLOOKUP($D10,[2]ClassGrupFases!$D$6:$N$219,V$4,FALSE),0)</f>
        <v>3</v>
      </c>
      <c r="W10" s="22">
        <f>J10+ IFERROR(VLOOKUP($D10,[1]ClassGrupFases!$D$6:$N$111,W$4,FALSE),0)+IFERROR(VLOOKUP($D10,[2]ClassGrupFases!$D$6:$N$219,W$4,FALSE),0)</f>
        <v>4</v>
      </c>
      <c r="X10" s="22">
        <f ca="1">K10+ IFERROR(VLOOKUP($D10,[1]ClassGrupFases!$D$6:$N$111,X$4,FALSE),0)+IFERROR(VLOOKUP($D10,[2]ClassGrupFases!$D$6:$N$219,X$4,FALSE),0)</f>
        <v>37</v>
      </c>
      <c r="Y10" s="22">
        <f ca="1">L10+ IFERROR(VLOOKUP($D10,[1]ClassGrupFases!$D$6:$N$111,Y$4,FALSE),0)+IFERROR(VLOOKUP($D10,[2]ClassGrupFases!$D$6:$N$219,Y$4,FALSE),0)</f>
        <v>29</v>
      </c>
      <c r="Z10" s="23">
        <f t="shared" ca="1" si="14"/>
        <v>8</v>
      </c>
      <c r="AA10" s="23">
        <f t="shared" ca="1" si="15"/>
        <v>70.377503566666661</v>
      </c>
    </row>
    <row r="11" spans="1:27" x14ac:dyDescent="0.15">
      <c r="A11" s="23" t="str">
        <f t="shared" ca="1" si="0"/>
        <v>7A</v>
      </c>
      <c r="B11" s="23" t="s">
        <v>24</v>
      </c>
      <c r="C11" s="23">
        <f t="shared" ca="1" si="1"/>
        <v>7</v>
      </c>
      <c r="D11" s="24" t="str">
        <f>VLOOKUP($O11, Equipes!$A$3:$B$44, 2, FALSE)</f>
        <v>Rogelson PR</v>
      </c>
      <c r="E11" s="31">
        <f t="shared" si="2"/>
        <v>5.5555555555555552E-2</v>
      </c>
      <c r="F11" s="23">
        <f t="shared" si="3"/>
        <v>1</v>
      </c>
      <c r="G11" s="23">
        <f>COUNTIF(Jogos!$M$1:$N$136, $D11)</f>
        <v>6</v>
      </c>
      <c r="H11" s="23">
        <f>COUNTIF(Jogos!$O$1:$O$136, $D11)</f>
        <v>0</v>
      </c>
      <c r="I11" s="23">
        <f>COUNTIF(Jogos!$P$1:$Q$136, $D11)</f>
        <v>1</v>
      </c>
      <c r="J11" s="23">
        <f>COUNTIF(Jogos!$R$1:$R$136, $D11)</f>
        <v>5</v>
      </c>
      <c r="K11" s="23">
        <f ca="1">SUMIF(Jogos!$S$1:$T$136, $D11, Jogos!$T$1:$T$136)+SUMIF(Jogos!$U$1:$V$136, $D11, Jogos!$V$1:$V$136)</f>
        <v>2</v>
      </c>
      <c r="L11" s="23">
        <f ca="1">SUMIF(Jogos!$S$1:$V$136, $D11, Jogos!$V$1:$V$136)+SUMIF(Jogos!$U$1:$W$136, $D11, Jogos!$W$1:$W$136)</f>
        <v>9</v>
      </c>
      <c r="M11" s="23">
        <f t="shared" ca="1" si="4"/>
        <v>-7</v>
      </c>
      <c r="N11" s="23">
        <f t="shared" ca="1" si="5"/>
        <v>5.6548574455555549</v>
      </c>
      <c r="O11" s="25">
        <v>6</v>
      </c>
      <c r="P11" s="25">
        <f t="shared" ca="1" si="6"/>
        <v>5.6548575555555551</v>
      </c>
      <c r="Q11" s="25">
        <f t="shared" ca="1" si="7"/>
        <v>7</v>
      </c>
      <c r="R11" s="31">
        <f t="shared" si="12"/>
        <v>0.31481481481481483</v>
      </c>
      <c r="S11" s="23">
        <f t="shared" si="13"/>
        <v>17</v>
      </c>
      <c r="T11" s="22">
        <f>G11+ IFERROR(VLOOKUP($D11,[1]ClassGrupFases!$D$6:$N$111,T$4,FALSE),0)+IFERROR(VLOOKUP($D11,[2]ClassGrupFases!$D$6:$N$219,T$4,FALSE),0)</f>
        <v>18</v>
      </c>
      <c r="U11" s="22">
        <f>H11+ IFERROR(VLOOKUP($D11,[1]ClassGrupFases!$D$6:$N$111,U$4,FALSE),0)+IFERROR(VLOOKUP($D11,[2]ClassGrupFases!$D$6:$N$219,U$4,FALSE),0)</f>
        <v>4</v>
      </c>
      <c r="V11" s="22">
        <f>I11+ IFERROR(VLOOKUP($D11,[1]ClassGrupFases!$D$6:$N$111,V$4,FALSE),0)+IFERROR(VLOOKUP($D11,[2]ClassGrupFases!$D$6:$N$219,V$4,FALSE),0)</f>
        <v>5</v>
      </c>
      <c r="W11" s="22">
        <f>J11+ IFERROR(VLOOKUP($D11,[1]ClassGrupFases!$D$6:$N$111,W$4,FALSE),0)+IFERROR(VLOOKUP($D11,[2]ClassGrupFases!$D$6:$N$219,W$4,FALSE),0)</f>
        <v>9</v>
      </c>
      <c r="X11" s="22">
        <f ca="1">K11+ IFERROR(VLOOKUP($D11,[1]ClassGrupFases!$D$6:$N$111,X$4,FALSE),0)+IFERROR(VLOOKUP($D11,[2]ClassGrupFases!$D$6:$N$219,X$4,FALSE),0)</f>
        <v>13</v>
      </c>
      <c r="Y11" s="22">
        <f ca="1">L11+ IFERROR(VLOOKUP($D11,[1]ClassGrupFases!$D$6:$N$111,Y$4,FALSE),0)+IFERROR(VLOOKUP($D11,[2]ClassGrupFases!$D$6:$N$219,Y$4,FALSE),0)</f>
        <v>24</v>
      </c>
      <c r="Z11" s="23">
        <f t="shared" ca="1" si="14"/>
        <v>-11</v>
      </c>
      <c r="AA11" s="23">
        <f t="shared" ca="1" si="15"/>
        <v>33.220394371481483</v>
      </c>
    </row>
    <row r="12" spans="1:27" x14ac:dyDescent="0.15">
      <c r="A12" s="23" t="str">
        <f t="shared" ca="1" si="0"/>
        <v>4A</v>
      </c>
      <c r="B12" s="23" t="s">
        <v>24</v>
      </c>
      <c r="C12" s="23">
        <f t="shared" ca="1" si="1"/>
        <v>4</v>
      </c>
      <c r="D12" s="24" t="str">
        <f>VLOOKUP($O12, Equipes!$A$3:$B$44, 2, FALSE)</f>
        <v>Gabriel Lisboa PA</v>
      </c>
      <c r="E12" s="31">
        <f t="shared" si="2"/>
        <v>0.5</v>
      </c>
      <c r="F12" s="23">
        <f t="shared" si="3"/>
        <v>9</v>
      </c>
      <c r="G12" s="23">
        <f>COUNTIF(Jogos!$M$1:$N$136, $D12)</f>
        <v>6</v>
      </c>
      <c r="H12" s="23">
        <f>COUNTIF(Jogos!$O$1:$O$136, $D12)</f>
        <v>3</v>
      </c>
      <c r="I12" s="23">
        <f>COUNTIF(Jogos!$P$1:$Q$136, $D12)</f>
        <v>0</v>
      </c>
      <c r="J12" s="23">
        <f>COUNTIF(Jogos!$R$1:$R$136, $D12)</f>
        <v>3</v>
      </c>
      <c r="K12" s="23">
        <f ca="1">SUMIF(Jogos!$S$1:$T$136, $D12, Jogos!$T$1:$T$136)+SUMIF(Jogos!$U$1:$V$136, $D12, Jogos!$V$1:$V$136)</f>
        <v>11</v>
      </c>
      <c r="L12" s="23">
        <f ca="1">SUMIF(Jogos!$S$1:$V$136, $D12, Jogos!$V$1:$V$136)+SUMIF(Jogos!$U$1:$W$136, $D12, Jogos!$W$1:$W$136)</f>
        <v>9</v>
      </c>
      <c r="M12" s="23">
        <f t="shared" ca="1" si="4"/>
        <v>2</v>
      </c>
      <c r="N12" s="23">
        <f t="shared" ca="1" si="5"/>
        <v>50.930210879999997</v>
      </c>
      <c r="O12" s="25">
        <v>7</v>
      </c>
      <c r="P12" s="25">
        <f t="shared" ca="1" si="6"/>
        <v>50.930211</v>
      </c>
      <c r="Q12" s="25">
        <f t="shared" ca="1" si="7"/>
        <v>4</v>
      </c>
      <c r="R12" s="31">
        <f t="shared" si="12"/>
        <v>0.3888888888888889</v>
      </c>
      <c r="S12" s="23">
        <f t="shared" si="13"/>
        <v>21</v>
      </c>
      <c r="T12" s="22">
        <f>G12+ IFERROR(VLOOKUP($D12,[1]ClassGrupFases!$D$6:$N$111,T$4,FALSE),0)+IFERROR(VLOOKUP($D12,[2]ClassGrupFases!$D$6:$N$219,T$4,FALSE),0)</f>
        <v>18</v>
      </c>
      <c r="U12" s="22">
        <f>H12+ IFERROR(VLOOKUP($D12,[1]ClassGrupFases!$D$6:$N$111,U$4,FALSE),0)+IFERROR(VLOOKUP($D12,[2]ClassGrupFases!$D$6:$N$219,U$4,FALSE),0)</f>
        <v>6</v>
      </c>
      <c r="V12" s="22">
        <f>I12+ IFERROR(VLOOKUP($D12,[1]ClassGrupFases!$D$6:$N$111,V$4,FALSE),0)+IFERROR(VLOOKUP($D12,[2]ClassGrupFases!$D$6:$N$219,V$4,FALSE),0)</f>
        <v>3</v>
      </c>
      <c r="W12" s="22">
        <f>J12+ IFERROR(VLOOKUP($D12,[1]ClassGrupFases!$D$6:$N$111,W$4,FALSE),0)+IFERROR(VLOOKUP($D12,[2]ClassGrupFases!$D$6:$N$219,W$4,FALSE),0)</f>
        <v>9</v>
      </c>
      <c r="X12" s="22">
        <f ca="1">K12+ IFERROR(VLOOKUP($D12,[1]ClassGrupFases!$D$6:$N$111,X$4,FALSE),0)+IFERROR(VLOOKUP($D12,[2]ClassGrupFases!$D$6:$N$219,X$4,FALSE),0)</f>
        <v>23</v>
      </c>
      <c r="Y12" s="22">
        <f ca="1">L12+ IFERROR(VLOOKUP($D12,[1]ClassGrupFases!$D$6:$N$111,Y$4,FALSE),0)+IFERROR(VLOOKUP($D12,[2]ClassGrupFases!$D$6:$N$219,Y$4,FALSE),0)</f>
        <v>28</v>
      </c>
      <c r="Z12" s="23">
        <f t="shared" ca="1" si="14"/>
        <v>-5</v>
      </c>
      <c r="AA12" s="23">
        <f t="shared" ca="1" si="15"/>
        <v>41.048411768888883</v>
      </c>
    </row>
    <row r="14" spans="1:27" ht="25.5" x14ac:dyDescent="0.5">
      <c r="A14" s="23" t="s">
        <v>36</v>
      </c>
      <c r="B14" s="23" t="s">
        <v>25</v>
      </c>
      <c r="C14" s="27" t="s">
        <v>25</v>
      </c>
      <c r="D14" s="28" t="s">
        <v>37</v>
      </c>
      <c r="E14" s="30" t="s">
        <v>38</v>
      </c>
      <c r="F14" s="30" t="s">
        <v>39</v>
      </c>
      <c r="G14" s="30" t="s">
        <v>15</v>
      </c>
      <c r="H14" s="30" t="s">
        <v>16</v>
      </c>
      <c r="I14" s="30" t="s">
        <v>17</v>
      </c>
      <c r="J14" s="30" t="s">
        <v>18</v>
      </c>
      <c r="K14" s="30" t="s">
        <v>40</v>
      </c>
      <c r="L14" s="30" t="s">
        <v>41</v>
      </c>
      <c r="M14" s="30" t="s">
        <v>42</v>
      </c>
      <c r="N14" s="29" t="s">
        <v>43</v>
      </c>
      <c r="R14" s="30" t="s">
        <v>38</v>
      </c>
      <c r="S14" s="30" t="s">
        <v>39</v>
      </c>
      <c r="T14" s="30" t="s">
        <v>15</v>
      </c>
      <c r="U14" s="30" t="s">
        <v>16</v>
      </c>
      <c r="V14" s="30" t="s">
        <v>17</v>
      </c>
      <c r="W14" s="30" t="s">
        <v>18</v>
      </c>
      <c r="X14" s="30" t="s">
        <v>40</v>
      </c>
      <c r="Y14" s="30" t="s">
        <v>41</v>
      </c>
      <c r="Z14" s="30" t="s">
        <v>42</v>
      </c>
      <c r="AA14" s="29" t="s">
        <v>43</v>
      </c>
    </row>
    <row r="15" spans="1:27" x14ac:dyDescent="0.15">
      <c r="A15" s="23" t="str">
        <f t="shared" ref="A15:A21" ca="1" si="16">CONCATENATE(C15,B15)</f>
        <v>4B</v>
      </c>
      <c r="B15" s="23" t="s">
        <v>25</v>
      </c>
      <c r="C15" s="23">
        <f t="shared" ref="C15:C21" ca="1" si="17">IF(SUM($G$15:$G$21)=0,0,_xlfn.RANK.EQ(N15,$N$15:$N$21))</f>
        <v>4</v>
      </c>
      <c r="D15" s="24" t="str">
        <f>VLOOKUP($O15, Equipes!$A$3:$B$44, 2, FALSE)</f>
        <v>Marcelinho RJ</v>
      </c>
      <c r="E15" s="31">
        <f t="shared" ref="E15:E21" si="18">IF(G15=0,0,(F15)/(G15*3))</f>
        <v>0.5</v>
      </c>
      <c r="F15" s="23">
        <f t="shared" ref="F15:F21" si="19">(H15*3)+(I15*1)</f>
        <v>9</v>
      </c>
      <c r="G15" s="23">
        <f>COUNTIF(Jogos!$M$1:$N$136, $D15)</f>
        <v>6</v>
      </c>
      <c r="H15" s="23">
        <f>COUNTIF(Jogos!$O$1:$O$136, $D15)</f>
        <v>3</v>
      </c>
      <c r="I15" s="23">
        <f>COUNTIF(Jogos!$P$1:$Q$136, $D15)</f>
        <v>0</v>
      </c>
      <c r="J15" s="23">
        <f>COUNTIF(Jogos!$R$1:$R$136, $D15)</f>
        <v>3</v>
      </c>
      <c r="K15" s="23">
        <f ca="1">SUMIF(Jogos!$S$1:$T$136, $D15, Jogos!$T$1:$T$136)+SUMIF(Jogos!$U$1:$V$136, $D15, Jogos!$V$1:$V$136)</f>
        <v>11</v>
      </c>
      <c r="L15" s="23">
        <f ca="1">SUMIF(Jogos!$S$1:$V$136, $D15, Jogos!$V$1:$V$136)+SUMIF(Jogos!$U$1:$W$136, $D15, Jogos!$W$1:$W$136)</f>
        <v>10</v>
      </c>
      <c r="M15" s="23">
        <f t="shared" ref="M15:M21" ca="1" si="20">K15-L15</f>
        <v>1</v>
      </c>
      <c r="N15" s="23">
        <f t="shared" ref="N15:N21" ca="1" si="21">(E15*E$3+F15*F$3+H15*H$3+M15*M$3+K15*K$3)/(E$3/100)-ROW(N15)/E$3</f>
        <v>50.930110849999998</v>
      </c>
      <c r="O15" s="25">
        <v>8</v>
      </c>
      <c r="P15" s="25">
        <f t="shared" ref="P15:P21" ca="1" si="22">(E15*E$3+F15*F$3+H15*H$3+M15*M$3+K15*K$3)/(E$3/100)</f>
        <v>50.930110999999997</v>
      </c>
      <c r="Q15" s="25">
        <f t="shared" ref="Q15:Q21" ca="1" si="23">IF(SUM($G$15:$G$21)=0,0,_xlfn.RANK.EQ(P15,$P$15:$P$21))</f>
        <v>4</v>
      </c>
      <c r="R15" s="31">
        <f t="shared" ref="R15:R21" si="24">IF(T15=0,0,(S15)/(T15*3))</f>
        <v>0.51851851851851849</v>
      </c>
      <c r="S15" s="23">
        <f t="shared" ref="S15:S21" si="25">(U15*3)+(V15*1)</f>
        <v>28</v>
      </c>
      <c r="T15" s="22">
        <f>G15+ IFERROR(VLOOKUP($D15,[1]ClassGrupFases!$D$6:$N$111,T$4,FALSE),0)+IFERROR(VLOOKUP($D15,[2]ClassGrupFases!$D$6:$N$219,T$4,FALSE),0)</f>
        <v>18</v>
      </c>
      <c r="U15" s="22">
        <f>H15+ IFERROR(VLOOKUP($D15,[1]ClassGrupFases!$D$6:$N$111,U$4,FALSE),0)+IFERROR(VLOOKUP($D15,[2]ClassGrupFases!$D$6:$N$219,U$4,FALSE),0)</f>
        <v>7</v>
      </c>
      <c r="V15" s="22">
        <f>I15+ IFERROR(VLOOKUP($D15,[1]ClassGrupFases!$D$6:$N$111,V$4,FALSE),0)+IFERROR(VLOOKUP($D15,[2]ClassGrupFases!$D$6:$N$219,V$4,FALSE),0)</f>
        <v>7</v>
      </c>
      <c r="W15" s="22">
        <f>J15+ IFERROR(VLOOKUP($D15,[1]ClassGrupFases!$D$6:$N$111,W$4,FALSE),0)+IFERROR(VLOOKUP($D15,[2]ClassGrupFases!$D$6:$N$219,W$4,FALSE),0)</f>
        <v>4</v>
      </c>
      <c r="X15" s="22">
        <f ca="1">K15+ IFERROR(VLOOKUP($D15,[1]ClassGrupFases!$D$6:$N$111,X$4,FALSE),0)+IFERROR(VLOOKUP($D15,[2]ClassGrupFases!$D$6:$N$219,X$4,FALSE),0)</f>
        <v>36</v>
      </c>
      <c r="Y15" s="22">
        <f ca="1">L15+ IFERROR(VLOOKUP($D15,[1]ClassGrupFases!$D$6:$N$111,Y$4,FALSE),0)+IFERROR(VLOOKUP($D15,[2]ClassGrupFases!$D$6:$N$219,Y$4,FALSE),0)</f>
        <v>29</v>
      </c>
      <c r="Z15" s="23">
        <f t="shared" ref="Z15:Z21" ca="1" si="26">X15-Y15</f>
        <v>7</v>
      </c>
      <c r="AA15" s="23">
        <f t="shared" ref="AA15:AA21" ca="1" si="27">(R15*R$3+S15*S$3+U15*U$3+Z15*Z$3+X15*X$3)/(R$3/100)-ROW(AA15)/R$3</f>
        <v>54.72258770185185</v>
      </c>
    </row>
    <row r="16" spans="1:27" x14ac:dyDescent="0.15">
      <c r="A16" s="23" t="str">
        <f t="shared" ca="1" si="16"/>
        <v>3B</v>
      </c>
      <c r="B16" s="23" t="s">
        <v>25</v>
      </c>
      <c r="C16" s="23">
        <f t="shared" ca="1" si="17"/>
        <v>3</v>
      </c>
      <c r="D16" s="24" t="str">
        <f>VLOOKUP($O16, Equipes!$A$3:$B$44, 2, FALSE)</f>
        <v>Capela SC</v>
      </c>
      <c r="E16" s="31">
        <f t="shared" si="18"/>
        <v>0.55555555555555558</v>
      </c>
      <c r="F16" s="23">
        <f t="shared" si="19"/>
        <v>10</v>
      </c>
      <c r="G16" s="23">
        <f>COUNTIF(Jogos!$M$1:$N$136, $D16)</f>
        <v>6</v>
      </c>
      <c r="H16" s="23">
        <f>COUNTIF(Jogos!$O$1:$O$136, $D16)</f>
        <v>3</v>
      </c>
      <c r="I16" s="23">
        <f>COUNTIF(Jogos!$P$1:$Q$136, $D16)</f>
        <v>1</v>
      </c>
      <c r="J16" s="23">
        <f>COUNTIF(Jogos!$R$1:$R$136, $D16)</f>
        <v>2</v>
      </c>
      <c r="K16" s="23">
        <f ca="1">SUMIF(Jogos!$S$1:$T$136, $D16, Jogos!$T$1:$T$136)+SUMIF(Jogos!$U$1:$V$136, $D16, Jogos!$V$1:$V$136)</f>
        <v>11</v>
      </c>
      <c r="L16" s="23">
        <f ca="1">SUMIF(Jogos!$S$1:$V$136, $D16, Jogos!$V$1:$V$136)+SUMIF(Jogos!$U$1:$W$136, $D16, Jogos!$W$1:$W$136)</f>
        <v>6</v>
      </c>
      <c r="M16" s="23">
        <f t="shared" ca="1" si="20"/>
        <v>5</v>
      </c>
      <c r="N16" s="23">
        <f t="shared" ca="1" si="21"/>
        <v>56.586066395555562</v>
      </c>
      <c r="O16" s="25">
        <v>9</v>
      </c>
      <c r="P16" s="25">
        <f t="shared" ca="1" si="22"/>
        <v>56.586066555555561</v>
      </c>
      <c r="Q16" s="25">
        <f t="shared" ca="1" si="23"/>
        <v>3</v>
      </c>
      <c r="R16" s="31">
        <f t="shared" si="24"/>
        <v>0.61111111111111116</v>
      </c>
      <c r="S16" s="23">
        <f t="shared" si="25"/>
        <v>33</v>
      </c>
      <c r="T16" s="22">
        <f>G16+ IFERROR(VLOOKUP($D16,[1]ClassGrupFases!$D$6:$N$111,T$4,FALSE),0)+IFERROR(VLOOKUP($D16,[2]ClassGrupFases!$D$6:$N$219,T$4,FALSE),0)</f>
        <v>18</v>
      </c>
      <c r="U16" s="22">
        <f>H16+ IFERROR(VLOOKUP($D16,[1]ClassGrupFases!$D$6:$N$111,U$4,FALSE),0)+IFERROR(VLOOKUP($D16,[2]ClassGrupFases!$D$6:$N$219,U$4,FALSE),0)</f>
        <v>10</v>
      </c>
      <c r="V16" s="22">
        <f>I16+ IFERROR(VLOOKUP($D16,[1]ClassGrupFases!$D$6:$N$111,V$4,FALSE),0)+IFERROR(VLOOKUP($D16,[2]ClassGrupFases!$D$6:$N$219,V$4,FALSE),0)</f>
        <v>3</v>
      </c>
      <c r="W16" s="22">
        <f>J16+ IFERROR(VLOOKUP($D16,[1]ClassGrupFases!$D$6:$N$111,W$4,FALSE),0)+IFERROR(VLOOKUP($D16,[2]ClassGrupFases!$D$6:$N$219,W$4,FALSE),0)</f>
        <v>5</v>
      </c>
      <c r="X16" s="22">
        <f ca="1">K16+ IFERROR(VLOOKUP($D16,[1]ClassGrupFases!$D$6:$N$111,X$4,FALSE),0)+IFERROR(VLOOKUP($D16,[2]ClassGrupFases!$D$6:$N$219,X$4,FALSE),0)</f>
        <v>34</v>
      </c>
      <c r="Y16" s="22">
        <f ca="1">L16+ IFERROR(VLOOKUP($D16,[1]ClassGrupFases!$D$6:$N$111,Y$4,FALSE),0)+IFERROR(VLOOKUP($D16,[2]ClassGrupFases!$D$6:$N$219,Y$4,FALSE),0)</f>
        <v>29</v>
      </c>
      <c r="Z16" s="23">
        <f t="shared" ca="1" si="26"/>
        <v>5</v>
      </c>
      <c r="AA16" s="23">
        <f t="shared" ca="1" si="27"/>
        <v>64.511644951111123</v>
      </c>
    </row>
    <row r="17" spans="1:27" x14ac:dyDescent="0.15">
      <c r="A17" s="23" t="str">
        <f t="shared" ca="1" si="16"/>
        <v>2B</v>
      </c>
      <c r="B17" s="23" t="s">
        <v>25</v>
      </c>
      <c r="C17" s="23">
        <f t="shared" ca="1" si="17"/>
        <v>2</v>
      </c>
      <c r="D17" s="24" t="str">
        <f>VLOOKUP($O17, Equipes!$A$3:$B$44, 2, FALSE)</f>
        <v>Roberto Giolo MS</v>
      </c>
      <c r="E17" s="31">
        <f t="shared" si="18"/>
        <v>0.66666666666666663</v>
      </c>
      <c r="F17" s="23">
        <f t="shared" si="19"/>
        <v>12</v>
      </c>
      <c r="G17" s="23">
        <f>COUNTIF(Jogos!$M$1:$N$136, $D17)</f>
        <v>6</v>
      </c>
      <c r="H17" s="23">
        <f>COUNTIF(Jogos!$O$1:$O$136, $D17)</f>
        <v>4</v>
      </c>
      <c r="I17" s="23">
        <f>COUNTIF(Jogos!$P$1:$Q$136, $D17)</f>
        <v>0</v>
      </c>
      <c r="J17" s="23">
        <f>COUNTIF(Jogos!$R$1:$R$136, $D17)</f>
        <v>2</v>
      </c>
      <c r="K17" s="23">
        <f ca="1">SUMIF(Jogos!$S$1:$T$136, $D17, Jogos!$T$1:$T$136)+SUMIF(Jogos!$U$1:$V$136, $D17, Jogos!$V$1:$V$136)</f>
        <v>9</v>
      </c>
      <c r="L17" s="23">
        <f ca="1">SUMIF(Jogos!$S$1:$V$136, $D17, Jogos!$V$1:$V$136)+SUMIF(Jogos!$U$1:$W$136, $D17, Jogos!$W$1:$W$136)</f>
        <v>7</v>
      </c>
      <c r="M17" s="23">
        <f t="shared" ca="1" si="20"/>
        <v>2</v>
      </c>
      <c r="N17" s="23">
        <f t="shared" ca="1" si="21"/>
        <v>67.906875496666643</v>
      </c>
      <c r="O17" s="25">
        <v>10</v>
      </c>
      <c r="P17" s="25">
        <f t="shared" ca="1" si="22"/>
        <v>67.90687566666665</v>
      </c>
      <c r="Q17" s="25">
        <f t="shared" ca="1" si="23"/>
        <v>2</v>
      </c>
      <c r="R17" s="31">
        <f t="shared" si="24"/>
        <v>0.51851851851851849</v>
      </c>
      <c r="S17" s="23">
        <f t="shared" si="25"/>
        <v>28</v>
      </c>
      <c r="T17" s="22">
        <f>G17+ IFERROR(VLOOKUP($D17,[1]ClassGrupFases!$D$6:$N$111,T$4,FALSE),0)+IFERROR(VLOOKUP($D17,[2]ClassGrupFases!$D$6:$N$219,T$4,FALSE),0)</f>
        <v>18</v>
      </c>
      <c r="U17" s="22">
        <f>H17+ IFERROR(VLOOKUP($D17,[1]ClassGrupFases!$D$6:$N$111,U$4,FALSE),0)+IFERROR(VLOOKUP($D17,[2]ClassGrupFases!$D$6:$N$219,U$4,FALSE),0)</f>
        <v>9</v>
      </c>
      <c r="V17" s="22">
        <f>I17+ IFERROR(VLOOKUP($D17,[1]ClassGrupFases!$D$6:$N$111,V$4,FALSE),0)+IFERROR(VLOOKUP($D17,[2]ClassGrupFases!$D$6:$N$219,V$4,FALSE),0)</f>
        <v>1</v>
      </c>
      <c r="W17" s="22">
        <f>J17+ IFERROR(VLOOKUP($D17,[1]ClassGrupFases!$D$6:$N$111,W$4,FALSE),0)+IFERROR(VLOOKUP($D17,[2]ClassGrupFases!$D$6:$N$219,W$4,FALSE),0)</f>
        <v>8</v>
      </c>
      <c r="X17" s="22">
        <f ca="1">K17+ IFERROR(VLOOKUP($D17,[1]ClassGrupFases!$D$6:$N$111,X$4,FALSE),0)+IFERROR(VLOOKUP($D17,[2]ClassGrupFases!$D$6:$N$219,X$4,FALSE),0)</f>
        <v>29</v>
      </c>
      <c r="Y17" s="22">
        <f ca="1">L17+ IFERROR(VLOOKUP($D17,[1]ClassGrupFases!$D$6:$N$111,Y$4,FALSE),0)+IFERROR(VLOOKUP($D17,[2]ClassGrupFases!$D$6:$N$219,Y$4,FALSE),0)</f>
        <v>27</v>
      </c>
      <c r="Z17" s="23">
        <f t="shared" ca="1" si="26"/>
        <v>2</v>
      </c>
      <c r="AA17" s="23">
        <f t="shared" ca="1" si="27"/>
        <v>54.742080681851853</v>
      </c>
    </row>
    <row r="18" spans="1:27" x14ac:dyDescent="0.15">
      <c r="A18" s="23" t="str">
        <f t="shared" ca="1" si="16"/>
        <v>5B</v>
      </c>
      <c r="B18" s="23" t="s">
        <v>25</v>
      </c>
      <c r="C18" s="23">
        <f t="shared" ca="1" si="17"/>
        <v>5</v>
      </c>
      <c r="D18" s="24" t="str">
        <f>VLOOKUP($O18, Equipes!$A$3:$B$44, 2, FALSE)</f>
        <v>Diogo SP</v>
      </c>
      <c r="E18" s="31">
        <f t="shared" si="18"/>
        <v>0.33333333333333331</v>
      </c>
      <c r="F18" s="23">
        <f t="shared" si="19"/>
        <v>6</v>
      </c>
      <c r="G18" s="23">
        <f>COUNTIF(Jogos!$M$1:$N$136, $D18)</f>
        <v>6</v>
      </c>
      <c r="H18" s="23">
        <f>COUNTIF(Jogos!$O$1:$O$136, $D18)</f>
        <v>2</v>
      </c>
      <c r="I18" s="23">
        <f>COUNTIF(Jogos!$P$1:$Q$136, $D18)</f>
        <v>0</v>
      </c>
      <c r="J18" s="23">
        <f>COUNTIF(Jogos!$R$1:$R$136, $D18)</f>
        <v>4</v>
      </c>
      <c r="K18" s="23">
        <f ca="1">SUMIF(Jogos!$S$1:$T$136, $D18, Jogos!$T$1:$T$136)+SUMIF(Jogos!$U$1:$V$136, $D18, Jogos!$V$1:$V$136)</f>
        <v>10</v>
      </c>
      <c r="L18" s="23">
        <f ca="1">SUMIF(Jogos!$S$1:$V$136, $D18, Jogos!$V$1:$V$136)+SUMIF(Jogos!$U$1:$W$136, $D18, Jogos!$W$1:$W$136)</f>
        <v>13</v>
      </c>
      <c r="M18" s="23">
        <f t="shared" ca="1" si="20"/>
        <v>-3</v>
      </c>
      <c r="N18" s="23">
        <f t="shared" ca="1" si="21"/>
        <v>33.953043153333326</v>
      </c>
      <c r="O18" s="25">
        <v>11</v>
      </c>
      <c r="P18" s="25">
        <f t="shared" ca="1" si="22"/>
        <v>33.953043333333326</v>
      </c>
      <c r="Q18" s="25">
        <f t="shared" ca="1" si="23"/>
        <v>5</v>
      </c>
      <c r="R18" s="31">
        <f t="shared" si="24"/>
        <v>0.42592592592592593</v>
      </c>
      <c r="S18" s="23">
        <f t="shared" si="25"/>
        <v>23</v>
      </c>
      <c r="T18" s="22">
        <f>G18+ IFERROR(VLOOKUP($D18,[1]ClassGrupFases!$D$6:$N$111,T$4,FALSE),0)+IFERROR(VLOOKUP($D18,[2]ClassGrupFases!$D$6:$N$219,T$4,FALSE),0)</f>
        <v>18</v>
      </c>
      <c r="U18" s="22">
        <f>H18+ IFERROR(VLOOKUP($D18,[1]ClassGrupFases!$D$6:$N$111,U$4,FALSE),0)+IFERROR(VLOOKUP($D18,[2]ClassGrupFases!$D$6:$N$219,U$4,FALSE),0)</f>
        <v>7</v>
      </c>
      <c r="V18" s="22">
        <f>I18+ IFERROR(VLOOKUP($D18,[1]ClassGrupFases!$D$6:$N$111,V$4,FALSE),0)+IFERROR(VLOOKUP($D18,[2]ClassGrupFases!$D$6:$N$219,V$4,FALSE),0)</f>
        <v>2</v>
      </c>
      <c r="W18" s="22">
        <f>J18+ IFERROR(VLOOKUP($D18,[1]ClassGrupFases!$D$6:$N$111,W$4,FALSE),0)+IFERROR(VLOOKUP($D18,[2]ClassGrupFases!$D$6:$N$219,W$4,FALSE),0)</f>
        <v>9</v>
      </c>
      <c r="X18" s="22">
        <f ca="1">K18+ IFERROR(VLOOKUP($D18,[1]ClassGrupFases!$D$6:$N$111,X$4,FALSE),0)+IFERROR(VLOOKUP($D18,[2]ClassGrupFases!$D$6:$N$219,X$4,FALSE),0)</f>
        <v>30</v>
      </c>
      <c r="Y18" s="22">
        <f ca="1">L18+ IFERROR(VLOOKUP($D18,[1]ClassGrupFases!$D$6:$N$111,Y$4,FALSE),0)+IFERROR(VLOOKUP($D18,[2]ClassGrupFases!$D$6:$N$219,Y$4,FALSE),0)</f>
        <v>35</v>
      </c>
      <c r="Z18" s="23">
        <f t="shared" ca="1" si="26"/>
        <v>-5</v>
      </c>
      <c r="AA18" s="23">
        <f t="shared" ca="1" si="27"/>
        <v>44.962122412592592</v>
      </c>
    </row>
    <row r="19" spans="1:27" x14ac:dyDescent="0.15">
      <c r="A19" s="23" t="str">
        <f t="shared" ca="1" si="16"/>
        <v>1B</v>
      </c>
      <c r="B19" s="23" t="s">
        <v>25</v>
      </c>
      <c r="C19" s="23">
        <f t="shared" ca="1" si="17"/>
        <v>1</v>
      </c>
      <c r="D19" s="24" t="str">
        <f>VLOOKUP($O19, Equipes!$A$3:$B$44, 2, FALSE)</f>
        <v>Lian MG</v>
      </c>
      <c r="E19" s="31">
        <f t="shared" si="18"/>
        <v>0.72222222222222221</v>
      </c>
      <c r="F19" s="23">
        <f t="shared" si="19"/>
        <v>13</v>
      </c>
      <c r="G19" s="23">
        <f>COUNTIF(Jogos!$M$1:$N$136, $D19)</f>
        <v>6</v>
      </c>
      <c r="H19" s="23">
        <f>COUNTIF(Jogos!$O$1:$O$136, $D19)</f>
        <v>4</v>
      </c>
      <c r="I19" s="23">
        <f>COUNTIF(Jogos!$P$1:$Q$136, $D19)</f>
        <v>1</v>
      </c>
      <c r="J19" s="23">
        <f>COUNTIF(Jogos!$R$1:$R$136, $D19)</f>
        <v>1</v>
      </c>
      <c r="K19" s="23">
        <f ca="1">SUMIF(Jogos!$S$1:$T$136, $D19, Jogos!$T$1:$T$136)+SUMIF(Jogos!$U$1:$V$136, $D19, Jogos!$V$1:$V$136)</f>
        <v>19</v>
      </c>
      <c r="L19" s="23">
        <f ca="1">SUMIF(Jogos!$S$1:$V$136, $D19, Jogos!$V$1:$V$136)+SUMIF(Jogos!$U$1:$W$136, $D19, Jogos!$W$1:$W$136)</f>
        <v>12</v>
      </c>
      <c r="M19" s="23">
        <f t="shared" ca="1" si="20"/>
        <v>7</v>
      </c>
      <c r="N19" s="23">
        <f t="shared" ca="1" si="21"/>
        <v>73.562941032222227</v>
      </c>
      <c r="O19" s="25">
        <v>12</v>
      </c>
      <c r="P19" s="25">
        <f t="shared" ca="1" si="22"/>
        <v>73.562941222222221</v>
      </c>
      <c r="Q19" s="25">
        <f t="shared" ca="1" si="23"/>
        <v>1</v>
      </c>
      <c r="R19" s="31">
        <f t="shared" si="24"/>
        <v>0.55555555555555558</v>
      </c>
      <c r="S19" s="23">
        <f t="shared" si="25"/>
        <v>30</v>
      </c>
      <c r="T19" s="22">
        <f>G19+ IFERROR(VLOOKUP($D19,[1]ClassGrupFases!$D$6:$N$111,T$4,FALSE),0)+IFERROR(VLOOKUP($D19,[2]ClassGrupFases!$D$6:$N$219,T$4,FALSE),0)</f>
        <v>18</v>
      </c>
      <c r="U19" s="22">
        <f>H19+ IFERROR(VLOOKUP($D19,[1]ClassGrupFases!$D$6:$N$111,U$4,FALSE),0)+IFERROR(VLOOKUP($D19,[2]ClassGrupFases!$D$6:$N$219,U$4,FALSE),0)</f>
        <v>9</v>
      </c>
      <c r="V19" s="22">
        <f>I19+ IFERROR(VLOOKUP($D19,[1]ClassGrupFases!$D$6:$N$111,V$4,FALSE),0)+IFERROR(VLOOKUP($D19,[2]ClassGrupFases!$D$6:$N$219,V$4,FALSE),0)</f>
        <v>3</v>
      </c>
      <c r="W19" s="22">
        <f>J19+ IFERROR(VLOOKUP($D19,[1]ClassGrupFases!$D$6:$N$111,W$4,FALSE),0)+IFERROR(VLOOKUP($D19,[2]ClassGrupFases!$D$6:$N$219,W$4,FALSE),0)</f>
        <v>6</v>
      </c>
      <c r="X19" s="22">
        <f ca="1">K19+ IFERROR(VLOOKUP($D19,[1]ClassGrupFases!$D$6:$N$111,X$4,FALSE),0)+IFERROR(VLOOKUP($D19,[2]ClassGrupFases!$D$6:$N$219,X$4,FALSE),0)</f>
        <v>43</v>
      </c>
      <c r="Y19" s="22">
        <f ca="1">L19+ IFERROR(VLOOKUP($D19,[1]ClassGrupFases!$D$6:$N$111,Y$4,FALSE),0)+IFERROR(VLOOKUP($D19,[2]ClassGrupFases!$D$6:$N$219,Y$4,FALSE),0)</f>
        <v>31</v>
      </c>
      <c r="Z19" s="23">
        <f t="shared" ca="1" si="26"/>
        <v>12</v>
      </c>
      <c r="AA19" s="23">
        <f t="shared" ca="1" si="27"/>
        <v>58.646798365555561</v>
      </c>
    </row>
    <row r="20" spans="1:27" x14ac:dyDescent="0.15">
      <c r="A20" s="23" t="str">
        <f t="shared" ca="1" si="16"/>
        <v>7B</v>
      </c>
      <c r="B20" s="23" t="s">
        <v>25</v>
      </c>
      <c r="C20" s="23">
        <f t="shared" ca="1" si="17"/>
        <v>7</v>
      </c>
      <c r="D20" s="24" t="str">
        <f>VLOOKUP($O20, Equipes!$A$3:$B$44, 2, FALSE)</f>
        <v>Eduardo Massa MG</v>
      </c>
      <c r="E20" s="31">
        <f t="shared" si="18"/>
        <v>0.27777777777777779</v>
      </c>
      <c r="F20" s="23">
        <f t="shared" si="19"/>
        <v>5</v>
      </c>
      <c r="G20" s="23">
        <f>COUNTIF(Jogos!$M$1:$N$136, $D20)</f>
        <v>6</v>
      </c>
      <c r="H20" s="23">
        <f>COUNTIF(Jogos!$O$1:$O$136, $D20)</f>
        <v>1</v>
      </c>
      <c r="I20" s="23">
        <f>COUNTIF(Jogos!$P$1:$Q$136, $D20)</f>
        <v>2</v>
      </c>
      <c r="J20" s="23">
        <f>COUNTIF(Jogos!$R$1:$R$136, $D20)</f>
        <v>3</v>
      </c>
      <c r="K20" s="23">
        <f ca="1">SUMIF(Jogos!$S$1:$T$136, $D20, Jogos!$T$1:$T$136)+SUMIF(Jogos!$U$1:$V$136, $D20, Jogos!$V$1:$V$136)</f>
        <v>7</v>
      </c>
      <c r="L20" s="23">
        <f ca="1">SUMIF(Jogos!$S$1:$V$136, $D20, Jogos!$V$1:$V$136)+SUMIF(Jogos!$U$1:$W$136, $D20, Jogos!$W$1:$W$136)</f>
        <v>12</v>
      </c>
      <c r="M20" s="23">
        <f t="shared" ca="1" si="20"/>
        <v>-5</v>
      </c>
      <c r="N20" s="23">
        <f t="shared" ca="1" si="21"/>
        <v>28.287284577777783</v>
      </c>
      <c r="O20" s="25">
        <v>13</v>
      </c>
      <c r="P20" s="25">
        <f t="shared" ca="1" si="22"/>
        <v>28.287284777777781</v>
      </c>
      <c r="Q20" s="25">
        <f t="shared" ca="1" si="23"/>
        <v>7</v>
      </c>
      <c r="R20" s="31">
        <f t="shared" si="24"/>
        <v>0.33333333333333331</v>
      </c>
      <c r="S20" s="23">
        <f t="shared" si="25"/>
        <v>18</v>
      </c>
      <c r="T20" s="22">
        <f>G20+ IFERROR(VLOOKUP($D20,[1]ClassGrupFases!$D$6:$N$111,T$4,FALSE),0)+IFERROR(VLOOKUP($D20,[2]ClassGrupFases!$D$6:$N$219,T$4,FALSE),0)</f>
        <v>18</v>
      </c>
      <c r="U20" s="22">
        <f>H20+ IFERROR(VLOOKUP($D20,[1]ClassGrupFases!$D$6:$N$111,U$4,FALSE),0)+IFERROR(VLOOKUP($D20,[2]ClassGrupFases!$D$6:$N$219,U$4,FALSE),0)</f>
        <v>4</v>
      </c>
      <c r="V20" s="22">
        <f>I20+ IFERROR(VLOOKUP($D20,[1]ClassGrupFases!$D$6:$N$111,V$4,FALSE),0)+IFERROR(VLOOKUP($D20,[2]ClassGrupFases!$D$6:$N$219,V$4,FALSE),0)</f>
        <v>6</v>
      </c>
      <c r="W20" s="22">
        <f>J20+ IFERROR(VLOOKUP($D20,[1]ClassGrupFases!$D$6:$N$111,W$4,FALSE),0)+IFERROR(VLOOKUP($D20,[2]ClassGrupFases!$D$6:$N$219,W$4,FALSE),0)</f>
        <v>8</v>
      </c>
      <c r="X20" s="22">
        <f ca="1">K20+ IFERROR(VLOOKUP($D20,[1]ClassGrupFases!$D$6:$N$111,X$4,FALSE),0)+IFERROR(VLOOKUP($D20,[2]ClassGrupFases!$D$6:$N$219,X$4,FALSE),0)</f>
        <v>32</v>
      </c>
      <c r="Y20" s="22">
        <f ca="1">L20+ IFERROR(VLOOKUP($D20,[1]ClassGrupFases!$D$6:$N$111,Y$4,FALSE),0)+IFERROR(VLOOKUP($D20,[2]ClassGrupFases!$D$6:$N$219,Y$4,FALSE),0)</f>
        <v>40</v>
      </c>
      <c r="Z20" s="23">
        <f t="shared" ca="1" si="26"/>
        <v>-8</v>
      </c>
      <c r="AA20" s="23">
        <f t="shared" ca="1" si="27"/>
        <v>35.172565133333329</v>
      </c>
    </row>
    <row r="21" spans="1:27" x14ac:dyDescent="0.15">
      <c r="A21" s="23" t="str">
        <f t="shared" ca="1" si="16"/>
        <v>6B</v>
      </c>
      <c r="B21" s="23" t="s">
        <v>25</v>
      </c>
      <c r="C21" s="23">
        <f t="shared" ca="1" si="17"/>
        <v>6</v>
      </c>
      <c r="D21" s="24" t="str">
        <f>VLOOKUP($O21, Equipes!$A$3:$B$44, 2, FALSE)</f>
        <v>Ronaldo Eifler RS</v>
      </c>
      <c r="E21" s="31">
        <f t="shared" si="18"/>
        <v>0.33333333333333331</v>
      </c>
      <c r="F21" s="23">
        <f t="shared" si="19"/>
        <v>6</v>
      </c>
      <c r="G21" s="23">
        <f>COUNTIF(Jogos!$M$1:$N$136, $D21)</f>
        <v>6</v>
      </c>
      <c r="H21" s="23">
        <f>COUNTIF(Jogos!$O$1:$O$136, $D21)</f>
        <v>2</v>
      </c>
      <c r="I21" s="23">
        <f>COUNTIF(Jogos!$P$1:$Q$136, $D21)</f>
        <v>0</v>
      </c>
      <c r="J21" s="23">
        <f>COUNTIF(Jogos!$R$1:$R$136, $D21)</f>
        <v>4</v>
      </c>
      <c r="K21" s="23">
        <f ca="1">SUMIF(Jogos!$S$1:$T$136, $D21, Jogos!$T$1:$T$136)+SUMIF(Jogos!$U$1:$V$136, $D21, Jogos!$V$1:$V$136)</f>
        <v>7</v>
      </c>
      <c r="L21" s="23">
        <f ca="1">SUMIF(Jogos!$S$1:$V$136, $D21, Jogos!$V$1:$V$136)+SUMIF(Jogos!$U$1:$W$136, $D21, Jogos!$W$1:$W$136)</f>
        <v>14</v>
      </c>
      <c r="M21" s="23">
        <f t="shared" ca="1" si="20"/>
        <v>-7</v>
      </c>
      <c r="N21" s="23">
        <f t="shared" ca="1" si="21"/>
        <v>33.952640123333325</v>
      </c>
      <c r="O21" s="25">
        <v>14</v>
      </c>
      <c r="P21" s="25">
        <f t="shared" ca="1" si="22"/>
        <v>33.952640333333328</v>
      </c>
      <c r="Q21" s="25">
        <f t="shared" ca="1" si="23"/>
        <v>6</v>
      </c>
      <c r="R21" s="31">
        <f t="shared" si="24"/>
        <v>0.29629629629629628</v>
      </c>
      <c r="S21" s="23">
        <f t="shared" si="25"/>
        <v>16</v>
      </c>
      <c r="T21" s="22">
        <f>G21+ IFERROR(VLOOKUP($D21,[1]ClassGrupFases!$D$6:$N$111,T$4,FALSE),0)+IFERROR(VLOOKUP($D21,[2]ClassGrupFases!$D$6:$N$219,T$4,FALSE),0)</f>
        <v>18</v>
      </c>
      <c r="U21" s="22">
        <f>H21+ IFERROR(VLOOKUP($D21,[1]ClassGrupFases!$D$6:$N$111,U$4,FALSE),0)+IFERROR(VLOOKUP($D21,[2]ClassGrupFases!$D$6:$N$219,U$4,FALSE),0)</f>
        <v>5</v>
      </c>
      <c r="V21" s="22">
        <f>I21+ IFERROR(VLOOKUP($D21,[1]ClassGrupFases!$D$6:$N$111,V$4,FALSE),0)+IFERROR(VLOOKUP($D21,[2]ClassGrupFases!$D$6:$N$219,V$4,FALSE),0)</f>
        <v>1</v>
      </c>
      <c r="W21" s="22">
        <f>J21+ IFERROR(VLOOKUP($D21,[1]ClassGrupFases!$D$6:$N$111,W$4,FALSE),0)+IFERROR(VLOOKUP($D21,[2]ClassGrupFases!$D$6:$N$219,W$4,FALSE),0)</f>
        <v>12</v>
      </c>
      <c r="X21" s="22">
        <f ca="1">K21+ IFERROR(VLOOKUP($D21,[1]ClassGrupFases!$D$6:$N$111,X$4,FALSE),0)+IFERROR(VLOOKUP($D21,[2]ClassGrupFases!$D$6:$N$219,X$4,FALSE),0)</f>
        <v>21</v>
      </c>
      <c r="Y21" s="22">
        <f ca="1">L21+ IFERROR(VLOOKUP($D21,[1]ClassGrupFases!$D$6:$N$111,Y$4,FALSE),0)+IFERROR(VLOOKUP($D21,[2]ClassGrupFases!$D$6:$N$219,Y$4,FALSE),0)</f>
        <v>34</v>
      </c>
      <c r="Z21" s="23">
        <f t="shared" ca="1" si="26"/>
        <v>-13</v>
      </c>
      <c r="AA21" s="23">
        <f t="shared" ca="1" si="27"/>
        <v>31.278350419629628</v>
      </c>
    </row>
    <row r="23" spans="1:27" ht="25.5" x14ac:dyDescent="0.5">
      <c r="A23" s="23" t="s">
        <v>36</v>
      </c>
      <c r="B23" s="23" t="s">
        <v>26</v>
      </c>
      <c r="C23" s="27" t="s">
        <v>26</v>
      </c>
      <c r="D23" s="28" t="s">
        <v>37</v>
      </c>
      <c r="E23" s="30" t="s">
        <v>38</v>
      </c>
      <c r="F23" s="30" t="s">
        <v>39</v>
      </c>
      <c r="G23" s="30" t="s">
        <v>15</v>
      </c>
      <c r="H23" s="30" t="s">
        <v>16</v>
      </c>
      <c r="I23" s="30" t="s">
        <v>17</v>
      </c>
      <c r="J23" s="30" t="s">
        <v>18</v>
      </c>
      <c r="K23" s="30" t="s">
        <v>40</v>
      </c>
      <c r="L23" s="30" t="s">
        <v>41</v>
      </c>
      <c r="M23" s="30" t="s">
        <v>42</v>
      </c>
      <c r="N23" s="29" t="s">
        <v>43</v>
      </c>
      <c r="R23" s="30" t="s">
        <v>38</v>
      </c>
      <c r="S23" s="30" t="s">
        <v>39</v>
      </c>
      <c r="T23" s="30" t="s">
        <v>15</v>
      </c>
      <c r="U23" s="30" t="s">
        <v>16</v>
      </c>
      <c r="V23" s="30" t="s">
        <v>17</v>
      </c>
      <c r="W23" s="30" t="s">
        <v>18</v>
      </c>
      <c r="X23" s="30" t="s">
        <v>40</v>
      </c>
      <c r="Y23" s="30" t="s">
        <v>41</v>
      </c>
      <c r="Z23" s="30" t="s">
        <v>42</v>
      </c>
      <c r="AA23" s="29" t="s">
        <v>43</v>
      </c>
    </row>
    <row r="24" spans="1:27" x14ac:dyDescent="0.15">
      <c r="A24" s="23" t="str">
        <f t="shared" ref="A24:A30" ca="1" si="28">CONCATENATE(C24,B24)</f>
        <v>1C</v>
      </c>
      <c r="B24" s="23" t="s">
        <v>26</v>
      </c>
      <c r="C24" s="23">
        <f t="shared" ref="C24:C30" ca="1" si="29">IF(SUM($G$24:$G$30)=0,0,_xlfn.RANK.EQ(N24,$N$24:$N$30))</f>
        <v>1</v>
      </c>
      <c r="D24" s="24" t="str">
        <f>VLOOKUP($O24, Equipes!$A$3:$B$44, 2, FALSE)</f>
        <v>Claudio Jr MG</v>
      </c>
      <c r="E24" s="31">
        <f t="shared" ref="E24:E30" si="30">IF(G24=0,0,(F24)/(G24*3))</f>
        <v>0.83333333333333337</v>
      </c>
      <c r="F24" s="23">
        <f t="shared" ref="F24:F30" si="31">(H24*3)+(I24*1)</f>
        <v>15</v>
      </c>
      <c r="G24" s="23">
        <f>COUNTIF(Jogos!$M$1:$N$136, $D24)</f>
        <v>6</v>
      </c>
      <c r="H24" s="23">
        <f>COUNTIF(Jogos!$O$1:$O$136, $D24)</f>
        <v>5</v>
      </c>
      <c r="I24" s="23">
        <f>COUNTIF(Jogos!$P$1:$Q$136, $D24)</f>
        <v>0</v>
      </c>
      <c r="J24" s="23">
        <f>COUNTIF(Jogos!$R$1:$R$136, $D24)</f>
        <v>1</v>
      </c>
      <c r="K24" s="23">
        <f ca="1">SUMIF(Jogos!$S$1:$T$136, $D24, Jogos!$T$1:$T$136)+SUMIF(Jogos!$U$1:$V$136, $D24, Jogos!$V$1:$V$136)</f>
        <v>14</v>
      </c>
      <c r="L24" s="23">
        <f ca="1">SUMIF(Jogos!$S$1:$V$136, $D24, Jogos!$V$1:$V$136)+SUMIF(Jogos!$U$1:$W$136, $D24, Jogos!$W$1:$W$136)</f>
        <v>5</v>
      </c>
      <c r="M24" s="23">
        <f t="shared" ref="M24:M30" ca="1" si="32">K24-L24</f>
        <v>9</v>
      </c>
      <c r="N24" s="23">
        <f t="shared" ref="N24:N30" ca="1" si="33">(E24*E$3+F24*F$3+H24*H$3+M24*M$3+K24*K$3)/(E$3/100)-ROW(N24)/E$3</f>
        <v>84.884247093333343</v>
      </c>
      <c r="O24" s="25">
        <v>15</v>
      </c>
      <c r="P24" s="25">
        <f t="shared" ref="P24:P30" ca="1" si="34">(E24*E$3+F24*F$3+H24*H$3+M24*M$3+K24*K$3)/(E$3/100)</f>
        <v>84.884247333333349</v>
      </c>
      <c r="Q24" s="25">
        <f t="shared" ref="Q24:Q30" ca="1" si="35">IF(SUM($G$24:$G$30)=0,0,_xlfn.RANK.EQ(P24,$P$24:$P$30))</f>
        <v>1</v>
      </c>
      <c r="R24" s="31">
        <f t="shared" ref="R24:R30" si="36">IF(T24=0,0,(S24)/(T24*3))</f>
        <v>0.70370370370370372</v>
      </c>
      <c r="S24" s="23">
        <f t="shared" ref="S24:S30" si="37">(U24*3)+(V24*1)</f>
        <v>38</v>
      </c>
      <c r="T24" s="22">
        <f>G24+ IFERROR(VLOOKUP($D24,[1]ClassGrupFases!$D$6:$N$111,T$4,FALSE),0)+IFERROR(VLOOKUP($D24,[2]ClassGrupFases!$D$6:$N$219,T$4,FALSE),0)</f>
        <v>18</v>
      </c>
      <c r="U24" s="22">
        <f>H24+ IFERROR(VLOOKUP($D24,[1]ClassGrupFases!$D$6:$N$111,U$4,FALSE),0)+IFERROR(VLOOKUP($D24,[2]ClassGrupFases!$D$6:$N$219,U$4,FALSE),0)</f>
        <v>12</v>
      </c>
      <c r="V24" s="22">
        <f>I24+ IFERROR(VLOOKUP($D24,[1]ClassGrupFases!$D$6:$N$111,V$4,FALSE),0)+IFERROR(VLOOKUP($D24,[2]ClassGrupFases!$D$6:$N$219,V$4,FALSE),0)</f>
        <v>2</v>
      </c>
      <c r="W24" s="22">
        <f>J24+ IFERROR(VLOOKUP($D24,[1]ClassGrupFases!$D$6:$N$111,W$4,FALSE),0)+IFERROR(VLOOKUP($D24,[2]ClassGrupFases!$D$6:$N$219,W$4,FALSE),0)</f>
        <v>4</v>
      </c>
      <c r="X24" s="22">
        <f ca="1">K24+ IFERROR(VLOOKUP($D24,[1]ClassGrupFases!$D$6:$N$111,X$4,FALSE),0)+IFERROR(VLOOKUP($D24,[2]ClassGrupFases!$D$6:$N$219,X$4,FALSE),0)</f>
        <v>48</v>
      </c>
      <c r="Y24" s="22">
        <f ca="1">L24+ IFERROR(VLOOKUP($D24,[1]ClassGrupFases!$D$6:$N$111,Y$4,FALSE),0)+IFERROR(VLOOKUP($D24,[2]ClassGrupFases!$D$6:$N$219,Y$4,FALSE),0)</f>
        <v>25</v>
      </c>
      <c r="Z24" s="23">
        <f t="shared" ref="Z24:Z30" ca="1" si="38">X24-Y24</f>
        <v>23</v>
      </c>
      <c r="AA24" s="23">
        <f t="shared" ref="AA24:AA30" ca="1" si="39">(R24*R$3+S24*S$3+U24*U$3+Z24*Z$3+X24*X$3)/(R$3/100)-ROW(AA24)/R$3</f>
        <v>74.292718130370361</v>
      </c>
    </row>
    <row r="25" spans="1:27" x14ac:dyDescent="0.15">
      <c r="A25" s="23" t="str">
        <f t="shared" ca="1" si="28"/>
        <v>4C</v>
      </c>
      <c r="B25" s="23" t="s">
        <v>26</v>
      </c>
      <c r="C25" s="23">
        <f t="shared" ca="1" si="29"/>
        <v>4</v>
      </c>
      <c r="D25" s="24" t="str">
        <f>VLOOKUP($O25, Equipes!$A$3:$B$44, 2, FALSE)</f>
        <v>Kaka RJ</v>
      </c>
      <c r="E25" s="31">
        <f t="shared" si="30"/>
        <v>0.66666666666666663</v>
      </c>
      <c r="F25" s="23">
        <f t="shared" si="31"/>
        <v>12</v>
      </c>
      <c r="G25" s="23">
        <f>COUNTIF(Jogos!$M$1:$N$136, $D25)</f>
        <v>6</v>
      </c>
      <c r="H25" s="23">
        <f>COUNTIF(Jogos!$O$1:$O$136, $D25)</f>
        <v>4</v>
      </c>
      <c r="I25" s="23">
        <f>COUNTIF(Jogos!$P$1:$Q$136, $D25)</f>
        <v>0</v>
      </c>
      <c r="J25" s="23">
        <f>COUNTIF(Jogos!$R$1:$R$136, $D25)</f>
        <v>2</v>
      </c>
      <c r="K25" s="23">
        <f ca="1">SUMIF(Jogos!$S$1:$T$136, $D25, Jogos!$T$1:$T$136)+SUMIF(Jogos!$U$1:$V$136, $D25, Jogos!$V$1:$V$136)</f>
        <v>13</v>
      </c>
      <c r="L25" s="23">
        <f ca="1">SUMIF(Jogos!$S$1:$V$136, $D25, Jogos!$V$1:$V$136)+SUMIF(Jogos!$U$1:$W$136, $D25, Jogos!$W$1:$W$136)</f>
        <v>11</v>
      </c>
      <c r="M25" s="23">
        <f t="shared" ca="1" si="32"/>
        <v>2</v>
      </c>
      <c r="N25" s="23">
        <f t="shared" ca="1" si="33"/>
        <v>67.906879416666655</v>
      </c>
      <c r="O25" s="25">
        <v>16</v>
      </c>
      <c r="P25" s="25">
        <f t="shared" ca="1" si="34"/>
        <v>67.906879666666654</v>
      </c>
      <c r="Q25" s="25">
        <f t="shared" ca="1" si="35"/>
        <v>4</v>
      </c>
      <c r="R25" s="31">
        <f t="shared" si="36"/>
        <v>0.62962962962962965</v>
      </c>
      <c r="S25" s="23">
        <f t="shared" si="37"/>
        <v>34</v>
      </c>
      <c r="T25" s="22">
        <f>G25+ IFERROR(VLOOKUP($D25,[1]ClassGrupFases!$D$6:$N$111,T$4,FALSE),0)+IFERROR(VLOOKUP($D25,[2]ClassGrupFases!$D$6:$N$219,T$4,FALSE),0)</f>
        <v>18</v>
      </c>
      <c r="U25" s="22">
        <f>H25+ IFERROR(VLOOKUP($D25,[1]ClassGrupFases!$D$6:$N$111,U$4,FALSE),0)+IFERROR(VLOOKUP($D25,[2]ClassGrupFases!$D$6:$N$219,U$4,FALSE),0)</f>
        <v>11</v>
      </c>
      <c r="V25" s="22">
        <f>I25+ IFERROR(VLOOKUP($D25,[1]ClassGrupFases!$D$6:$N$111,V$4,FALSE),0)+IFERROR(VLOOKUP($D25,[2]ClassGrupFases!$D$6:$N$219,V$4,FALSE),0)</f>
        <v>1</v>
      </c>
      <c r="W25" s="22">
        <f>J25+ IFERROR(VLOOKUP($D25,[1]ClassGrupFases!$D$6:$N$111,W$4,FALSE),0)+IFERROR(VLOOKUP($D25,[2]ClassGrupFases!$D$6:$N$219,W$4,FALSE),0)</f>
        <v>6</v>
      </c>
      <c r="X25" s="22">
        <f ca="1">K25+ IFERROR(VLOOKUP($D25,[1]ClassGrupFases!$D$6:$N$111,X$4,FALSE),0)+IFERROR(VLOOKUP($D25,[2]ClassGrupFases!$D$6:$N$219,X$4,FALSE),0)</f>
        <v>42</v>
      </c>
      <c r="Y25" s="22">
        <f ca="1">L25+ IFERROR(VLOOKUP($D25,[1]ClassGrupFases!$D$6:$N$111,Y$4,FALSE),0)+IFERROR(VLOOKUP($D25,[2]ClassGrupFases!$D$6:$N$219,Y$4,FALSE),0)</f>
        <v>36</v>
      </c>
      <c r="Z25" s="23">
        <f t="shared" ca="1" si="38"/>
        <v>6</v>
      </c>
      <c r="AA25" s="23">
        <f t="shared" ca="1" si="39"/>
        <v>66.473604712962967</v>
      </c>
    </row>
    <row r="26" spans="1:27" x14ac:dyDescent="0.15">
      <c r="A26" s="23" t="str">
        <f t="shared" ca="1" si="28"/>
        <v>2C</v>
      </c>
      <c r="B26" s="23" t="s">
        <v>26</v>
      </c>
      <c r="C26" s="23">
        <f t="shared" ca="1" si="29"/>
        <v>2</v>
      </c>
      <c r="D26" s="24" t="str">
        <f>VLOOKUP($O26, Equipes!$A$3:$B$44, 2, FALSE)</f>
        <v>Almo PR</v>
      </c>
      <c r="E26" s="31">
        <f t="shared" si="30"/>
        <v>0.83333333333333337</v>
      </c>
      <c r="F26" s="23">
        <f t="shared" si="31"/>
        <v>15</v>
      </c>
      <c r="G26" s="23">
        <f>COUNTIF(Jogos!$M$1:$N$136, $D26)</f>
        <v>6</v>
      </c>
      <c r="H26" s="23">
        <f>COUNTIF(Jogos!$O$1:$O$136, $D26)</f>
        <v>5</v>
      </c>
      <c r="I26" s="23">
        <f>COUNTIF(Jogos!$P$1:$Q$136, $D26)</f>
        <v>0</v>
      </c>
      <c r="J26" s="23">
        <f>COUNTIF(Jogos!$R$1:$R$136, $D26)</f>
        <v>1</v>
      </c>
      <c r="K26" s="23">
        <f ca="1">SUMIF(Jogos!$S$1:$T$136, $D26, Jogos!$T$1:$T$136)+SUMIF(Jogos!$U$1:$V$136, $D26, Jogos!$V$1:$V$136)</f>
        <v>15</v>
      </c>
      <c r="L26" s="23">
        <f ca="1">SUMIF(Jogos!$S$1:$V$136, $D26, Jogos!$V$1:$V$136)+SUMIF(Jogos!$U$1:$W$136, $D26, Jogos!$W$1:$W$136)</f>
        <v>8</v>
      </c>
      <c r="M26" s="23">
        <f t="shared" ca="1" si="32"/>
        <v>7</v>
      </c>
      <c r="N26" s="23">
        <f t="shared" ca="1" si="33"/>
        <v>84.884048073333346</v>
      </c>
      <c r="O26" s="25">
        <v>17</v>
      </c>
      <c r="P26" s="25">
        <f t="shared" ca="1" si="34"/>
        <v>84.88404833333334</v>
      </c>
      <c r="Q26" s="25">
        <f t="shared" ca="1" si="35"/>
        <v>2</v>
      </c>
      <c r="R26" s="31">
        <f t="shared" si="36"/>
        <v>0.68518518518518523</v>
      </c>
      <c r="S26" s="23">
        <f t="shared" si="37"/>
        <v>37</v>
      </c>
      <c r="T26" s="22">
        <f>G26+ IFERROR(VLOOKUP($D26,[1]ClassGrupFases!$D$6:$N$111,T$4,FALSE),0)+IFERROR(VLOOKUP($D26,[2]ClassGrupFases!$D$6:$N$219,T$4,FALSE),0)</f>
        <v>18</v>
      </c>
      <c r="U26" s="22">
        <f>H26+ IFERROR(VLOOKUP($D26,[1]ClassGrupFases!$D$6:$N$111,U$4,FALSE),0)+IFERROR(VLOOKUP($D26,[2]ClassGrupFases!$D$6:$N$219,U$4,FALSE),0)</f>
        <v>12</v>
      </c>
      <c r="V26" s="22">
        <f>I26+ IFERROR(VLOOKUP($D26,[1]ClassGrupFases!$D$6:$N$111,V$4,FALSE),0)+IFERROR(VLOOKUP($D26,[2]ClassGrupFases!$D$6:$N$219,V$4,FALSE),0)</f>
        <v>1</v>
      </c>
      <c r="W26" s="22">
        <f>J26+ IFERROR(VLOOKUP($D26,[1]ClassGrupFases!$D$6:$N$111,W$4,FALSE),0)+IFERROR(VLOOKUP($D26,[2]ClassGrupFases!$D$6:$N$219,W$4,FALSE),0)</f>
        <v>5</v>
      </c>
      <c r="X26" s="22">
        <f ca="1">K26+ IFERROR(VLOOKUP($D26,[1]ClassGrupFases!$D$6:$N$111,X$4,FALSE),0)+IFERROR(VLOOKUP($D26,[2]ClassGrupFases!$D$6:$N$219,X$4,FALSE),0)</f>
        <v>38</v>
      </c>
      <c r="Y26" s="22">
        <f ca="1">L26+ IFERROR(VLOOKUP($D26,[1]ClassGrupFases!$D$6:$N$111,Y$4,FALSE),0)+IFERROR(VLOOKUP($D26,[2]ClassGrupFases!$D$6:$N$219,Y$4,FALSE),0)</f>
        <v>27</v>
      </c>
      <c r="Z26" s="23">
        <f t="shared" ca="1" si="38"/>
        <v>11</v>
      </c>
      <c r="AA26" s="23">
        <f t="shared" ca="1" si="39"/>
        <v>72.339656258518531</v>
      </c>
    </row>
    <row r="27" spans="1:27" x14ac:dyDescent="0.15">
      <c r="A27" s="23" t="str">
        <f t="shared" ca="1" si="28"/>
        <v>5C</v>
      </c>
      <c r="B27" s="23" t="s">
        <v>26</v>
      </c>
      <c r="C27" s="23">
        <f t="shared" ca="1" si="29"/>
        <v>5</v>
      </c>
      <c r="D27" s="24" t="str">
        <f>VLOOKUP($O27, Equipes!$A$3:$B$44, 2, FALSE)</f>
        <v>Cléo Jr SP</v>
      </c>
      <c r="E27" s="31">
        <f t="shared" si="30"/>
        <v>0.33333333333333331</v>
      </c>
      <c r="F27" s="23">
        <f t="shared" si="31"/>
        <v>6</v>
      </c>
      <c r="G27" s="23">
        <f>COUNTIF(Jogos!$M$1:$N$136, $D27)</f>
        <v>6</v>
      </c>
      <c r="H27" s="23">
        <f>COUNTIF(Jogos!$O$1:$O$136, $D27)</f>
        <v>2</v>
      </c>
      <c r="I27" s="23">
        <f>COUNTIF(Jogos!$P$1:$Q$136, $D27)</f>
        <v>0</v>
      </c>
      <c r="J27" s="23">
        <f>COUNTIF(Jogos!$R$1:$R$136, $D27)</f>
        <v>4</v>
      </c>
      <c r="K27" s="23">
        <f ca="1">SUMIF(Jogos!$S$1:$T$136, $D27, Jogos!$T$1:$T$136)+SUMIF(Jogos!$U$1:$V$136, $D27, Jogos!$V$1:$V$136)</f>
        <v>7</v>
      </c>
      <c r="L27" s="23">
        <f ca="1">SUMIF(Jogos!$S$1:$V$136, $D27, Jogos!$V$1:$V$136)+SUMIF(Jogos!$U$1:$W$136, $D27, Jogos!$W$1:$W$136)</f>
        <v>12</v>
      </c>
      <c r="M27" s="23">
        <f t="shared" ca="1" si="32"/>
        <v>-5</v>
      </c>
      <c r="N27" s="23">
        <f t="shared" ca="1" si="33"/>
        <v>33.952840063333326</v>
      </c>
      <c r="O27" s="25">
        <v>18</v>
      </c>
      <c r="P27" s="25">
        <f t="shared" ca="1" si="34"/>
        <v>33.952840333333327</v>
      </c>
      <c r="Q27" s="25">
        <f t="shared" ca="1" si="35"/>
        <v>5</v>
      </c>
      <c r="R27" s="31">
        <f t="shared" si="36"/>
        <v>0.3888888888888889</v>
      </c>
      <c r="S27" s="23">
        <f t="shared" si="37"/>
        <v>21</v>
      </c>
      <c r="T27" s="22">
        <f>G27+ IFERROR(VLOOKUP($D27,[1]ClassGrupFases!$D$6:$N$111,T$4,FALSE),0)+IFERROR(VLOOKUP($D27,[2]ClassGrupFases!$D$6:$N$219,T$4,FALSE),0)</f>
        <v>18</v>
      </c>
      <c r="U27" s="22">
        <f>H27+ IFERROR(VLOOKUP($D27,[1]ClassGrupFases!$D$6:$N$111,U$4,FALSE),0)+IFERROR(VLOOKUP($D27,[2]ClassGrupFases!$D$6:$N$219,U$4,FALSE),0)</f>
        <v>6</v>
      </c>
      <c r="V27" s="22">
        <f>I27+ IFERROR(VLOOKUP($D27,[1]ClassGrupFases!$D$6:$N$111,V$4,FALSE),0)+IFERROR(VLOOKUP($D27,[2]ClassGrupFases!$D$6:$N$219,V$4,FALSE),0)</f>
        <v>3</v>
      </c>
      <c r="W27" s="22">
        <f>J27+ IFERROR(VLOOKUP($D27,[1]ClassGrupFases!$D$6:$N$111,W$4,FALSE),0)+IFERROR(VLOOKUP($D27,[2]ClassGrupFases!$D$6:$N$219,W$4,FALSE),0)</f>
        <v>9</v>
      </c>
      <c r="X27" s="22">
        <f ca="1">K27+ IFERROR(VLOOKUP($D27,[1]ClassGrupFases!$D$6:$N$111,X$4,FALSE),0)+IFERROR(VLOOKUP($D27,[2]ClassGrupFases!$D$6:$N$219,X$4,FALSE),0)</f>
        <v>25</v>
      </c>
      <c r="Y27" s="22">
        <f ca="1">L27+ IFERROR(VLOOKUP($D27,[1]ClassGrupFases!$D$6:$N$111,Y$4,FALSE),0)+IFERROR(VLOOKUP($D27,[2]ClassGrupFases!$D$6:$N$219,Y$4,FALSE),0)</f>
        <v>33</v>
      </c>
      <c r="Z27" s="23">
        <f t="shared" ca="1" si="38"/>
        <v>-8</v>
      </c>
      <c r="AA27" s="23">
        <f t="shared" ca="1" si="39"/>
        <v>41.048113618888884</v>
      </c>
    </row>
    <row r="28" spans="1:27" x14ac:dyDescent="0.15">
      <c r="A28" s="23" t="str">
        <f t="shared" ca="1" si="28"/>
        <v>3C</v>
      </c>
      <c r="B28" s="23" t="s">
        <v>26</v>
      </c>
      <c r="C28" s="23">
        <f t="shared" ca="1" si="29"/>
        <v>3</v>
      </c>
      <c r="D28" s="24" t="str">
        <f>VLOOKUP($O28, Equipes!$A$3:$B$44, 2, FALSE)</f>
        <v>Afonso SP</v>
      </c>
      <c r="E28" s="31">
        <f t="shared" si="30"/>
        <v>0.66666666666666663</v>
      </c>
      <c r="F28" s="23">
        <f t="shared" si="31"/>
        <v>12</v>
      </c>
      <c r="G28" s="23">
        <f>COUNTIF(Jogos!$M$1:$N$136, $D28)</f>
        <v>6</v>
      </c>
      <c r="H28" s="23">
        <f>COUNTIF(Jogos!$O$1:$O$136, $D28)</f>
        <v>4</v>
      </c>
      <c r="I28" s="23">
        <f>COUNTIF(Jogos!$P$1:$Q$136, $D28)</f>
        <v>0</v>
      </c>
      <c r="J28" s="23">
        <f>COUNTIF(Jogos!$R$1:$R$136, $D28)</f>
        <v>2</v>
      </c>
      <c r="K28" s="23">
        <f ca="1">SUMIF(Jogos!$S$1:$T$136, $D28, Jogos!$T$1:$T$136)+SUMIF(Jogos!$U$1:$V$136, $D28, Jogos!$V$1:$V$136)</f>
        <v>13</v>
      </c>
      <c r="L28" s="23">
        <f ca="1">SUMIF(Jogos!$S$1:$V$136, $D28, Jogos!$V$1:$V$136)+SUMIF(Jogos!$U$1:$W$136, $D28, Jogos!$W$1:$W$136)</f>
        <v>9</v>
      </c>
      <c r="M28" s="23">
        <f t="shared" ca="1" si="32"/>
        <v>4</v>
      </c>
      <c r="N28" s="23">
        <f t="shared" ca="1" si="33"/>
        <v>67.907079386666666</v>
      </c>
      <c r="O28" s="25">
        <v>19</v>
      </c>
      <c r="P28" s="25">
        <f t="shared" ca="1" si="34"/>
        <v>67.907079666666661</v>
      </c>
      <c r="Q28" s="25">
        <f t="shared" ca="1" si="35"/>
        <v>3</v>
      </c>
      <c r="R28" s="31">
        <f t="shared" si="36"/>
        <v>0.44444444444444442</v>
      </c>
      <c r="S28" s="23">
        <f t="shared" si="37"/>
        <v>24</v>
      </c>
      <c r="T28" s="22">
        <f>G28+ IFERROR(VLOOKUP($D28,[1]ClassGrupFases!$D$6:$N$111,T$4,FALSE),0)+IFERROR(VLOOKUP($D28,[2]ClassGrupFases!$D$6:$N$219,T$4,FALSE),0)</f>
        <v>18</v>
      </c>
      <c r="U28" s="22">
        <f>H28+ IFERROR(VLOOKUP($D28,[1]ClassGrupFases!$D$6:$N$111,U$4,FALSE),0)+IFERROR(VLOOKUP($D28,[2]ClassGrupFases!$D$6:$N$219,U$4,FALSE),0)</f>
        <v>7</v>
      </c>
      <c r="V28" s="22">
        <f>I28+ IFERROR(VLOOKUP($D28,[1]ClassGrupFases!$D$6:$N$111,V$4,FALSE),0)+IFERROR(VLOOKUP($D28,[2]ClassGrupFases!$D$6:$N$219,V$4,FALSE),0)</f>
        <v>3</v>
      </c>
      <c r="W28" s="22">
        <f>J28+ IFERROR(VLOOKUP($D28,[1]ClassGrupFases!$D$6:$N$111,W$4,FALSE),0)+IFERROR(VLOOKUP($D28,[2]ClassGrupFases!$D$6:$N$219,W$4,FALSE),0)</f>
        <v>8</v>
      </c>
      <c r="X28" s="22">
        <f ca="1">K28+ IFERROR(VLOOKUP($D28,[1]ClassGrupFases!$D$6:$N$111,X$4,FALSE),0)+IFERROR(VLOOKUP($D28,[2]ClassGrupFases!$D$6:$N$219,X$4,FALSE),0)</f>
        <v>23</v>
      </c>
      <c r="Y28" s="22">
        <f ca="1">L28+ IFERROR(VLOOKUP($D28,[1]ClassGrupFases!$D$6:$N$111,Y$4,FALSE),0)+IFERROR(VLOOKUP($D28,[2]ClassGrupFases!$D$6:$N$219,Y$4,FALSE),0)</f>
        <v>32</v>
      </c>
      <c r="Z28" s="23">
        <f t="shared" ca="1" si="38"/>
        <v>-9</v>
      </c>
      <c r="AA28" s="23">
        <f t="shared" ca="1" si="39"/>
        <v>46.913567164444437</v>
      </c>
    </row>
    <row r="29" spans="1:27" x14ac:dyDescent="0.15">
      <c r="A29" s="23" t="str">
        <f t="shared" ca="1" si="28"/>
        <v>6C</v>
      </c>
      <c r="B29" s="23" t="s">
        <v>26</v>
      </c>
      <c r="C29" s="23">
        <f t="shared" ca="1" si="29"/>
        <v>6</v>
      </c>
      <c r="D29" s="24" t="str">
        <f>VLOOKUP($O29, Equipes!$A$3:$B$44, 2, FALSE)</f>
        <v>Justa SP</v>
      </c>
      <c r="E29" s="31">
        <f t="shared" si="30"/>
        <v>0.16666666666666666</v>
      </c>
      <c r="F29" s="23">
        <f t="shared" si="31"/>
        <v>3</v>
      </c>
      <c r="G29" s="23">
        <f>COUNTIF(Jogos!$M$1:$N$136, $D29)</f>
        <v>6</v>
      </c>
      <c r="H29" s="23">
        <f>COUNTIF(Jogos!$O$1:$O$136, $D29)</f>
        <v>1</v>
      </c>
      <c r="I29" s="23">
        <f>COUNTIF(Jogos!$P$1:$Q$136, $D29)</f>
        <v>0</v>
      </c>
      <c r="J29" s="23">
        <f>COUNTIF(Jogos!$R$1:$R$136, $D29)</f>
        <v>5</v>
      </c>
      <c r="K29" s="23">
        <f ca="1">SUMIF(Jogos!$S$1:$T$136, $D29, Jogos!$T$1:$T$136)+SUMIF(Jogos!$U$1:$V$136, $D29, Jogos!$V$1:$V$136)</f>
        <v>5</v>
      </c>
      <c r="L29" s="23">
        <f ca="1">SUMIF(Jogos!$S$1:$V$136, $D29, Jogos!$V$1:$V$136)+SUMIF(Jogos!$U$1:$W$136, $D29, Jogos!$W$1:$W$136)</f>
        <v>12</v>
      </c>
      <c r="M29" s="23">
        <f t="shared" ca="1" si="32"/>
        <v>-7</v>
      </c>
      <c r="N29" s="23">
        <f t="shared" ca="1" si="33"/>
        <v>16.975971376666664</v>
      </c>
      <c r="O29" s="25">
        <v>20</v>
      </c>
      <c r="P29" s="25">
        <f t="shared" ca="1" si="34"/>
        <v>16.975971666666663</v>
      </c>
      <c r="Q29" s="25">
        <f t="shared" ca="1" si="35"/>
        <v>6</v>
      </c>
      <c r="R29" s="31">
        <f t="shared" si="36"/>
        <v>0.25925925925925924</v>
      </c>
      <c r="S29" s="23">
        <f t="shared" si="37"/>
        <v>14</v>
      </c>
      <c r="T29" s="22">
        <f>G29+ IFERROR(VLOOKUP($D29,[1]ClassGrupFases!$D$6:$N$111,T$4,FALSE),0)+IFERROR(VLOOKUP($D29,[2]ClassGrupFases!$D$6:$N$219,T$4,FALSE),0)</f>
        <v>18</v>
      </c>
      <c r="U29" s="22">
        <f>H29+ IFERROR(VLOOKUP($D29,[1]ClassGrupFases!$D$6:$N$111,U$4,FALSE),0)+IFERROR(VLOOKUP($D29,[2]ClassGrupFases!$D$6:$N$219,U$4,FALSE),0)</f>
        <v>4</v>
      </c>
      <c r="V29" s="22">
        <f>I29+ IFERROR(VLOOKUP($D29,[1]ClassGrupFases!$D$6:$N$111,V$4,FALSE),0)+IFERROR(VLOOKUP($D29,[2]ClassGrupFases!$D$6:$N$219,V$4,FALSE),0)</f>
        <v>2</v>
      </c>
      <c r="W29" s="22">
        <f>J29+ IFERROR(VLOOKUP($D29,[1]ClassGrupFases!$D$6:$N$111,W$4,FALSE),0)+IFERROR(VLOOKUP($D29,[2]ClassGrupFases!$D$6:$N$219,W$4,FALSE),0)</f>
        <v>12</v>
      </c>
      <c r="X29" s="22">
        <f ca="1">K29+ IFERROR(VLOOKUP($D29,[1]ClassGrupFases!$D$6:$N$111,X$4,FALSE),0)+IFERROR(VLOOKUP($D29,[2]ClassGrupFases!$D$6:$N$219,X$4,FALSE),0)</f>
        <v>22</v>
      </c>
      <c r="Y29" s="22">
        <f ca="1">L29+ IFERROR(VLOOKUP($D29,[1]ClassGrupFases!$D$6:$N$111,Y$4,FALSE),0)+IFERROR(VLOOKUP($D29,[2]ClassGrupFases!$D$6:$N$219,Y$4,FALSE),0)</f>
        <v>36</v>
      </c>
      <c r="Z29" s="23">
        <f t="shared" ca="1" si="38"/>
        <v>-14</v>
      </c>
      <c r="AA29" s="23">
        <f t="shared" ca="1" si="39"/>
        <v>27.364547635925927</v>
      </c>
    </row>
    <row r="30" spans="1:27" x14ac:dyDescent="0.15">
      <c r="A30" s="23" t="str">
        <f t="shared" ca="1" si="28"/>
        <v>7C</v>
      </c>
      <c r="B30" s="23" t="s">
        <v>26</v>
      </c>
      <c r="C30" s="23">
        <f t="shared" ca="1" si="29"/>
        <v>7</v>
      </c>
      <c r="D30" s="24" t="str">
        <f>VLOOKUP($O30, Equipes!$A$3:$B$44, 2, FALSE)</f>
        <v>Luiz Coelho SP</v>
      </c>
      <c r="E30" s="31">
        <f t="shared" si="30"/>
        <v>0</v>
      </c>
      <c r="F30" s="23">
        <f t="shared" si="31"/>
        <v>0</v>
      </c>
      <c r="G30" s="23">
        <f>COUNTIF(Jogos!$M$1:$N$136, $D30)</f>
        <v>6</v>
      </c>
      <c r="H30" s="23">
        <f>COUNTIF(Jogos!$O$1:$O$136, $D30)</f>
        <v>0</v>
      </c>
      <c r="I30" s="23">
        <f>COUNTIF(Jogos!$P$1:$Q$136, $D30)</f>
        <v>0</v>
      </c>
      <c r="J30" s="23">
        <f>COUNTIF(Jogos!$R$1:$R$136, $D30)</f>
        <v>6</v>
      </c>
      <c r="K30" s="23">
        <f ca="1">SUMIF(Jogos!$S$1:$T$136, $D30, Jogos!$T$1:$T$136)+SUMIF(Jogos!$U$1:$V$136, $D30, Jogos!$V$1:$V$136)</f>
        <v>0</v>
      </c>
      <c r="L30" s="23">
        <f ca="1">SUMIF(Jogos!$S$1:$V$136, $D30, Jogos!$V$1:$V$136)+SUMIF(Jogos!$U$1:$W$136, $D30, Jogos!$W$1:$W$136)</f>
        <v>10</v>
      </c>
      <c r="M30" s="23">
        <f t="shared" ca="1" si="32"/>
        <v>-10</v>
      </c>
      <c r="N30" s="23">
        <f t="shared" ca="1" si="33"/>
        <v>-1.0003E-3</v>
      </c>
      <c r="O30" s="25">
        <v>21</v>
      </c>
      <c r="P30" s="25">
        <f t="shared" ca="1" si="34"/>
        <v>-1E-3</v>
      </c>
      <c r="Q30" s="25">
        <f t="shared" ca="1" si="35"/>
        <v>7</v>
      </c>
      <c r="R30" s="31">
        <f t="shared" si="36"/>
        <v>0.24074074074074073</v>
      </c>
      <c r="S30" s="23">
        <f t="shared" si="37"/>
        <v>13</v>
      </c>
      <c r="T30" s="22">
        <f>G30+ IFERROR(VLOOKUP($D30,[1]ClassGrupFases!$D$6:$N$111,T$4,FALSE),0)+IFERROR(VLOOKUP($D30,[2]ClassGrupFases!$D$6:$N$219,T$4,FALSE),0)</f>
        <v>18</v>
      </c>
      <c r="U30" s="22">
        <f>H30+ IFERROR(VLOOKUP($D30,[1]ClassGrupFases!$D$6:$N$111,U$4,FALSE),0)+IFERROR(VLOOKUP($D30,[2]ClassGrupFases!$D$6:$N$219,U$4,FALSE),0)</f>
        <v>4</v>
      </c>
      <c r="V30" s="22">
        <f>I30+ IFERROR(VLOOKUP($D30,[1]ClassGrupFases!$D$6:$N$111,V$4,FALSE),0)+IFERROR(VLOOKUP($D30,[2]ClassGrupFases!$D$6:$N$219,V$4,FALSE),0)</f>
        <v>1</v>
      </c>
      <c r="W30" s="22">
        <f>J30+ IFERROR(VLOOKUP($D30,[1]ClassGrupFases!$D$6:$N$111,W$4,FALSE),0)+IFERROR(VLOOKUP($D30,[2]ClassGrupFases!$D$6:$N$219,W$4,FALSE),0)</f>
        <v>13</v>
      </c>
      <c r="X30" s="22">
        <f ca="1">K30+ IFERROR(VLOOKUP($D30,[1]ClassGrupFases!$D$6:$N$111,X$4,FALSE),0)+IFERROR(VLOOKUP($D30,[2]ClassGrupFases!$D$6:$N$219,X$4,FALSE),0)</f>
        <v>12</v>
      </c>
      <c r="Y30" s="22">
        <f ca="1">L30+ IFERROR(VLOOKUP($D30,[1]ClassGrupFases!$D$6:$N$111,Y$4,FALSE),0)+IFERROR(VLOOKUP($D30,[2]ClassGrupFases!$D$6:$N$219,Y$4,FALSE),0)</f>
        <v>30</v>
      </c>
      <c r="Z30" s="23">
        <f t="shared" ca="1" si="38"/>
        <v>-18</v>
      </c>
      <c r="AA30" s="23">
        <f t="shared" ca="1" si="39"/>
        <v>25.412285774074071</v>
      </c>
    </row>
    <row r="32" spans="1:27" ht="25.5" x14ac:dyDescent="0.5">
      <c r="A32" s="23" t="s">
        <v>36</v>
      </c>
      <c r="B32" s="23" t="s">
        <v>18</v>
      </c>
      <c r="C32" s="27" t="s">
        <v>18</v>
      </c>
      <c r="D32" s="28" t="s">
        <v>37</v>
      </c>
      <c r="E32" s="30" t="s">
        <v>38</v>
      </c>
      <c r="F32" s="30" t="s">
        <v>39</v>
      </c>
      <c r="G32" s="30" t="s">
        <v>15</v>
      </c>
      <c r="H32" s="30" t="s">
        <v>16</v>
      </c>
      <c r="I32" s="30" t="s">
        <v>17</v>
      </c>
      <c r="J32" s="30" t="s">
        <v>18</v>
      </c>
      <c r="K32" s="30" t="s">
        <v>40</v>
      </c>
      <c r="L32" s="30" t="s">
        <v>41</v>
      </c>
      <c r="M32" s="30" t="s">
        <v>42</v>
      </c>
      <c r="N32" s="29" t="s">
        <v>43</v>
      </c>
      <c r="R32" s="30" t="s">
        <v>38</v>
      </c>
      <c r="S32" s="30" t="s">
        <v>39</v>
      </c>
      <c r="T32" s="30" t="s">
        <v>15</v>
      </c>
      <c r="U32" s="30" t="s">
        <v>16</v>
      </c>
      <c r="V32" s="30" t="s">
        <v>17</v>
      </c>
      <c r="W32" s="30" t="s">
        <v>18</v>
      </c>
      <c r="X32" s="30" t="s">
        <v>40</v>
      </c>
      <c r="Y32" s="30" t="s">
        <v>41</v>
      </c>
      <c r="Z32" s="30" t="s">
        <v>42</v>
      </c>
      <c r="AA32" s="29" t="s">
        <v>43</v>
      </c>
    </row>
    <row r="33" spans="1:27" x14ac:dyDescent="0.15">
      <c r="A33" s="23" t="str">
        <f t="shared" ref="A33:A39" ca="1" si="40">CONCATENATE(C33,B33)</f>
        <v>4D</v>
      </c>
      <c r="B33" s="23" t="s">
        <v>18</v>
      </c>
      <c r="C33" s="23">
        <f t="shared" ref="C33:C39" ca="1" si="41">IF(SUM($G$33:$G$39)=0,0,_xlfn.RANK.EQ(N33,$N$33:$N$39))</f>
        <v>4</v>
      </c>
      <c r="D33" s="24" t="str">
        <f>VLOOKUP($O33, Equipes!$A$3:$B$44, 2, FALSE)</f>
        <v>João Paulo MG</v>
      </c>
      <c r="E33" s="31">
        <f t="shared" ref="E33:E39" si="42">IF(G33=0,0,(F33)/(G33*3))</f>
        <v>0.44444444444444442</v>
      </c>
      <c r="F33" s="23">
        <f t="shared" ref="F33:F39" si="43">(H33*3)+(I33*1)</f>
        <v>8</v>
      </c>
      <c r="G33" s="23">
        <f>COUNTIF(Jogos!$M$1:$N$136, $D33)</f>
        <v>6</v>
      </c>
      <c r="H33" s="23">
        <f>COUNTIF(Jogos!$O$1:$O$136, $D33)</f>
        <v>2</v>
      </c>
      <c r="I33" s="23">
        <f>COUNTIF(Jogos!$P$1:$Q$136, $D33)</f>
        <v>2</v>
      </c>
      <c r="J33" s="23">
        <f>COUNTIF(Jogos!$R$1:$R$136, $D33)</f>
        <v>2</v>
      </c>
      <c r="K33" s="23">
        <f ca="1">SUMIF(Jogos!$S$1:$T$136, $D33, Jogos!$T$1:$T$136)+SUMIF(Jogos!$U$1:$V$136, $D33, Jogos!$V$1:$V$136)</f>
        <v>9</v>
      </c>
      <c r="L33" s="23">
        <f ca="1">SUMIF(Jogos!$S$1:$V$136, $D33, Jogos!$V$1:$V$136)+SUMIF(Jogos!$U$1:$W$136, $D33, Jogos!$W$1:$W$136)</f>
        <v>7</v>
      </c>
      <c r="M33" s="23">
        <f t="shared" ref="M33:M39" ca="1" si="44">K33-L33</f>
        <v>2</v>
      </c>
      <c r="N33" s="23">
        <f t="shared" ref="N33:N39" ca="1" si="45">(E33*E$3+F33*F$3+H33*H$3+M33*M$3+K33*K$3)/(E$3/100)-ROW(N33)/E$3</f>
        <v>45.264653114444442</v>
      </c>
      <c r="O33" s="25">
        <v>22</v>
      </c>
      <c r="P33" s="25">
        <f t="shared" ref="P33:P39" ca="1" si="46">(E33*E$3+F33*F$3+H33*H$3+M33*M$3+K33*K$3)/(E$3/100)</f>
        <v>45.264653444444441</v>
      </c>
      <c r="Q33" s="25">
        <f t="shared" ref="Q33:Q39" ca="1" si="47">IF(SUM($G$33:$G$39)=0,0,_xlfn.RANK.EQ(P33,$P$33:$P$39))</f>
        <v>4</v>
      </c>
      <c r="R33" s="31">
        <f t="shared" ref="R33:R39" si="48">IF(T33=0,0,(S33)/(T33*3))</f>
        <v>0.55555555555555558</v>
      </c>
      <c r="S33" s="23">
        <f t="shared" ref="S33:S39" si="49">(U33*3)+(V33*1)</f>
        <v>30</v>
      </c>
      <c r="T33" s="22">
        <f>G33+ IFERROR(VLOOKUP($D33,[1]ClassGrupFases!$D$6:$N$111,T$4,FALSE),0)+IFERROR(VLOOKUP($D33,[2]ClassGrupFases!$D$6:$N$219,T$4,FALSE),0)</f>
        <v>18</v>
      </c>
      <c r="U33" s="22">
        <f>H33+ IFERROR(VLOOKUP($D33,[1]ClassGrupFases!$D$6:$N$111,U$4,FALSE),0)+IFERROR(VLOOKUP($D33,[2]ClassGrupFases!$D$6:$N$219,U$4,FALSE),0)</f>
        <v>8</v>
      </c>
      <c r="V33" s="22">
        <f>I33+ IFERROR(VLOOKUP($D33,[1]ClassGrupFases!$D$6:$N$111,V$4,FALSE),0)+IFERROR(VLOOKUP($D33,[2]ClassGrupFases!$D$6:$N$219,V$4,FALSE),0)</f>
        <v>6</v>
      </c>
      <c r="W33" s="22">
        <f>J33+ IFERROR(VLOOKUP($D33,[1]ClassGrupFases!$D$6:$N$111,W$4,FALSE),0)+IFERROR(VLOOKUP($D33,[2]ClassGrupFases!$D$6:$N$219,W$4,FALSE),0)</f>
        <v>4</v>
      </c>
      <c r="X33" s="22">
        <f ca="1">K33+ IFERROR(VLOOKUP($D33,[1]ClassGrupFases!$D$6:$N$111,X$4,FALSE),0)+IFERROR(VLOOKUP($D33,[2]ClassGrupFases!$D$6:$N$219,X$4,FALSE),0)</f>
        <v>28</v>
      </c>
      <c r="Y33" s="22">
        <f ca="1">L33+ IFERROR(VLOOKUP($D33,[1]ClassGrupFases!$D$6:$N$111,Y$4,FALSE),0)+IFERROR(VLOOKUP($D33,[2]ClassGrupFases!$D$6:$N$219,Y$4,FALSE),0)</f>
        <v>19</v>
      </c>
      <c r="Z33" s="23">
        <f t="shared" ref="Z33:Z39" ca="1" si="50">X33-Y33</f>
        <v>9</v>
      </c>
      <c r="AA33" s="23">
        <f t="shared" ref="AA33:AA39" ca="1" si="51">(R33*R$3+S33*S$3+U33*U$3+Z33*Z$3+X33*X$3)/(R$3/100)-ROW(AA33)/R$3</f>
        <v>58.636483225555558</v>
      </c>
    </row>
    <row r="34" spans="1:27" x14ac:dyDescent="0.15">
      <c r="A34" s="23" t="str">
        <f t="shared" ca="1" si="40"/>
        <v>6D</v>
      </c>
      <c r="B34" s="23" t="s">
        <v>18</v>
      </c>
      <c r="C34" s="23">
        <f t="shared" ca="1" si="41"/>
        <v>6</v>
      </c>
      <c r="D34" s="24" t="str">
        <f>VLOOKUP($O34, Equipes!$A$3:$B$44, 2, FALSE)</f>
        <v>Alysson RJ</v>
      </c>
      <c r="E34" s="31">
        <f t="shared" si="42"/>
        <v>0.33333333333333331</v>
      </c>
      <c r="F34" s="23">
        <f t="shared" si="43"/>
        <v>6</v>
      </c>
      <c r="G34" s="23">
        <f>COUNTIF(Jogos!$M$1:$N$136, $D34)</f>
        <v>6</v>
      </c>
      <c r="H34" s="23">
        <f>COUNTIF(Jogos!$O$1:$O$136, $D34)</f>
        <v>1</v>
      </c>
      <c r="I34" s="23">
        <f>COUNTIF(Jogos!$P$1:$Q$136, $D34)</f>
        <v>3</v>
      </c>
      <c r="J34" s="23">
        <f>COUNTIF(Jogos!$R$1:$R$136, $D34)</f>
        <v>2</v>
      </c>
      <c r="K34" s="23">
        <f ca="1">SUMIF(Jogos!$S$1:$T$136, $D34, Jogos!$T$1:$T$136)+SUMIF(Jogos!$U$1:$V$136, $D34, Jogos!$V$1:$V$136)</f>
        <v>6</v>
      </c>
      <c r="L34" s="23">
        <f ca="1">SUMIF(Jogos!$S$1:$V$136, $D34, Jogos!$V$1:$V$136)+SUMIF(Jogos!$U$1:$W$136, $D34, Jogos!$W$1:$W$136)</f>
        <v>9</v>
      </c>
      <c r="M34" s="23">
        <f t="shared" ca="1" si="44"/>
        <v>-3</v>
      </c>
      <c r="N34" s="23">
        <f t="shared" ca="1" si="45"/>
        <v>33.943038993333332</v>
      </c>
      <c r="O34" s="25">
        <v>23</v>
      </c>
      <c r="P34" s="25">
        <f t="shared" ca="1" si="46"/>
        <v>33.943039333333331</v>
      </c>
      <c r="Q34" s="25">
        <f t="shared" ca="1" si="47"/>
        <v>6</v>
      </c>
      <c r="R34" s="31">
        <f t="shared" si="48"/>
        <v>0.40740740740740738</v>
      </c>
      <c r="S34" s="23">
        <f t="shared" si="49"/>
        <v>22</v>
      </c>
      <c r="T34" s="22">
        <f>G34+ IFERROR(VLOOKUP($D34,[1]ClassGrupFases!$D$6:$N$111,T$4,FALSE),0)+IFERROR(VLOOKUP($D34,[2]ClassGrupFases!$D$6:$N$219,T$4,FALSE),0)</f>
        <v>18</v>
      </c>
      <c r="U34" s="22">
        <f>H34+ IFERROR(VLOOKUP($D34,[1]ClassGrupFases!$D$6:$N$111,U$4,FALSE),0)+IFERROR(VLOOKUP($D34,[2]ClassGrupFases!$D$6:$N$219,U$4,FALSE),0)</f>
        <v>6</v>
      </c>
      <c r="V34" s="22">
        <f>I34+ IFERROR(VLOOKUP($D34,[1]ClassGrupFases!$D$6:$N$111,V$4,FALSE),0)+IFERROR(VLOOKUP($D34,[2]ClassGrupFases!$D$6:$N$219,V$4,FALSE),0)</f>
        <v>4</v>
      </c>
      <c r="W34" s="22">
        <f>J34+ IFERROR(VLOOKUP($D34,[1]ClassGrupFases!$D$6:$N$111,W$4,FALSE),0)+IFERROR(VLOOKUP($D34,[2]ClassGrupFases!$D$6:$N$219,W$4,FALSE),0)</f>
        <v>8</v>
      </c>
      <c r="X34" s="22">
        <f ca="1">K34+ IFERROR(VLOOKUP($D34,[1]ClassGrupFases!$D$6:$N$111,X$4,FALSE),0)+IFERROR(VLOOKUP($D34,[2]ClassGrupFases!$D$6:$N$219,X$4,FALSE),0)</f>
        <v>30</v>
      </c>
      <c r="Y34" s="22">
        <f ca="1">L34+ IFERROR(VLOOKUP($D34,[1]ClassGrupFases!$D$6:$N$111,Y$4,FALSE),0)+IFERROR(VLOOKUP($D34,[2]ClassGrupFases!$D$6:$N$219,Y$4,FALSE),0)</f>
        <v>36</v>
      </c>
      <c r="Z34" s="23">
        <f t="shared" ca="1" si="50"/>
        <v>-6</v>
      </c>
      <c r="AA34" s="23">
        <f t="shared" ca="1" si="51"/>
        <v>43.000170400740743</v>
      </c>
    </row>
    <row r="35" spans="1:27" x14ac:dyDescent="0.15">
      <c r="A35" s="23" t="str">
        <f t="shared" ca="1" si="40"/>
        <v>7D</v>
      </c>
      <c r="B35" s="23" t="s">
        <v>18</v>
      </c>
      <c r="C35" s="23">
        <f t="shared" ca="1" si="41"/>
        <v>7</v>
      </c>
      <c r="D35" s="24" t="str">
        <f>VLOOKUP($O35, Equipes!$A$3:$B$44, 2, FALSE)</f>
        <v>Marcelo Baceiredo MG</v>
      </c>
      <c r="E35" s="31">
        <f t="shared" si="42"/>
        <v>5.5555555555555552E-2</v>
      </c>
      <c r="F35" s="23">
        <f t="shared" si="43"/>
        <v>1</v>
      </c>
      <c r="G35" s="23">
        <f>COUNTIF(Jogos!$M$1:$N$136, $D35)</f>
        <v>6</v>
      </c>
      <c r="H35" s="23">
        <f>COUNTIF(Jogos!$O$1:$O$136, $D35)</f>
        <v>0</v>
      </c>
      <c r="I35" s="23">
        <f>COUNTIF(Jogos!$P$1:$Q$136, $D35)</f>
        <v>1</v>
      </c>
      <c r="J35" s="23">
        <f>COUNTIF(Jogos!$R$1:$R$136, $D35)</f>
        <v>5</v>
      </c>
      <c r="K35" s="23">
        <f ca="1">SUMIF(Jogos!$S$1:$T$136, $D35, Jogos!$T$1:$T$136)+SUMIF(Jogos!$U$1:$V$136, $D35, Jogos!$V$1:$V$136)</f>
        <v>2</v>
      </c>
      <c r="L35" s="23">
        <f ca="1">SUMIF(Jogos!$S$1:$V$136, $D35, Jogos!$V$1:$V$136)+SUMIF(Jogos!$U$1:$W$136, $D35, Jogos!$W$1:$W$136)</f>
        <v>14</v>
      </c>
      <c r="M35" s="23">
        <f t="shared" ca="1" si="44"/>
        <v>-12</v>
      </c>
      <c r="N35" s="23">
        <f t="shared" ca="1" si="45"/>
        <v>5.6543572055555558</v>
      </c>
      <c r="O35" s="25">
        <v>24</v>
      </c>
      <c r="P35" s="25">
        <f t="shared" ca="1" si="46"/>
        <v>5.6543575555555554</v>
      </c>
      <c r="Q35" s="25">
        <f t="shared" ca="1" si="47"/>
        <v>7</v>
      </c>
      <c r="R35" s="31">
        <f t="shared" si="48"/>
        <v>0.3888888888888889</v>
      </c>
      <c r="S35" s="23">
        <f t="shared" si="49"/>
        <v>21</v>
      </c>
      <c r="T35" s="22">
        <f>G35+ IFERROR(VLOOKUP($D35,[1]ClassGrupFases!$D$6:$N$111,T$4,FALSE),0)+IFERROR(VLOOKUP($D35,[2]ClassGrupFases!$D$6:$N$219,T$4,FALSE),0)</f>
        <v>18</v>
      </c>
      <c r="U35" s="22">
        <f>H35+ IFERROR(VLOOKUP($D35,[1]ClassGrupFases!$D$6:$N$111,U$4,FALSE),0)+IFERROR(VLOOKUP($D35,[2]ClassGrupFases!$D$6:$N$219,U$4,FALSE),0)</f>
        <v>6</v>
      </c>
      <c r="V35" s="22">
        <f>I35+ IFERROR(VLOOKUP($D35,[1]ClassGrupFases!$D$6:$N$111,V$4,FALSE),0)+IFERROR(VLOOKUP($D35,[2]ClassGrupFases!$D$6:$N$219,V$4,FALSE),0)</f>
        <v>3</v>
      </c>
      <c r="W35" s="22">
        <f>J35+ IFERROR(VLOOKUP($D35,[1]ClassGrupFases!$D$6:$N$111,W$4,FALSE),0)+IFERROR(VLOOKUP($D35,[2]ClassGrupFases!$D$6:$N$219,W$4,FALSE),0)</f>
        <v>9</v>
      </c>
      <c r="X35" s="22">
        <f ca="1">K35+ IFERROR(VLOOKUP($D35,[1]ClassGrupFases!$D$6:$N$111,X$4,FALSE),0)+IFERROR(VLOOKUP($D35,[2]ClassGrupFases!$D$6:$N$219,X$4,FALSE),0)</f>
        <v>15</v>
      </c>
      <c r="Y35" s="22">
        <f ca="1">L35+ IFERROR(VLOOKUP($D35,[1]ClassGrupFases!$D$6:$N$111,Y$4,FALSE),0)+IFERROR(VLOOKUP($D35,[2]ClassGrupFases!$D$6:$N$219,Y$4,FALSE),0)</f>
        <v>24</v>
      </c>
      <c r="Z35" s="23">
        <f t="shared" ca="1" si="50"/>
        <v>-9</v>
      </c>
      <c r="AA35" s="23">
        <f t="shared" ca="1" si="51"/>
        <v>41.048003538888885</v>
      </c>
    </row>
    <row r="36" spans="1:27" x14ac:dyDescent="0.15">
      <c r="A36" s="23" t="str">
        <f t="shared" ca="1" si="40"/>
        <v>3D</v>
      </c>
      <c r="B36" s="23" t="s">
        <v>18</v>
      </c>
      <c r="C36" s="23">
        <f t="shared" ca="1" si="41"/>
        <v>3</v>
      </c>
      <c r="D36" s="24" t="str">
        <f>VLOOKUP($O36, Equipes!$A$3:$B$44, 2, FALSE)</f>
        <v>Renato Souza MG</v>
      </c>
      <c r="E36" s="31">
        <f t="shared" si="42"/>
        <v>0.5</v>
      </c>
      <c r="F36" s="23">
        <f t="shared" si="43"/>
        <v>9</v>
      </c>
      <c r="G36" s="23">
        <f>COUNTIF(Jogos!$M$1:$N$136, $D36)</f>
        <v>6</v>
      </c>
      <c r="H36" s="23">
        <f>COUNTIF(Jogos!$O$1:$O$136, $D36)</f>
        <v>3</v>
      </c>
      <c r="I36" s="23">
        <f>COUNTIF(Jogos!$P$1:$Q$136, $D36)</f>
        <v>0</v>
      </c>
      <c r="J36" s="23">
        <f>COUNTIF(Jogos!$R$1:$R$136, $D36)</f>
        <v>3</v>
      </c>
      <c r="K36" s="23">
        <f ca="1">SUMIF(Jogos!$S$1:$T$136, $D36, Jogos!$T$1:$T$136)+SUMIF(Jogos!$U$1:$V$136, $D36, Jogos!$V$1:$V$136)</f>
        <v>10</v>
      </c>
      <c r="L36" s="23">
        <f ca="1">SUMIF(Jogos!$S$1:$V$136, $D36, Jogos!$V$1:$V$136)+SUMIF(Jogos!$U$1:$W$136, $D36, Jogos!$W$1:$W$136)</f>
        <v>7</v>
      </c>
      <c r="M36" s="23">
        <f t="shared" ca="1" si="44"/>
        <v>3</v>
      </c>
      <c r="N36" s="23">
        <f t="shared" ca="1" si="45"/>
        <v>50.930309639999997</v>
      </c>
      <c r="O36" s="25">
        <v>25</v>
      </c>
      <c r="P36" s="25">
        <f t="shared" ca="1" si="46"/>
        <v>50.930309999999999</v>
      </c>
      <c r="Q36" s="25">
        <f t="shared" ca="1" si="47"/>
        <v>3</v>
      </c>
      <c r="R36" s="31">
        <f t="shared" si="48"/>
        <v>0.42592592592592593</v>
      </c>
      <c r="S36" s="23">
        <f t="shared" si="49"/>
        <v>23</v>
      </c>
      <c r="T36" s="22">
        <f>G36+ IFERROR(VLOOKUP($D36,[1]ClassGrupFases!$D$6:$N$111,T$4,FALSE),0)+IFERROR(VLOOKUP($D36,[2]ClassGrupFases!$D$6:$N$219,T$4,FALSE),0)</f>
        <v>18</v>
      </c>
      <c r="U36" s="22">
        <f>H36+ IFERROR(VLOOKUP($D36,[1]ClassGrupFases!$D$6:$N$111,U$4,FALSE),0)+IFERROR(VLOOKUP($D36,[2]ClassGrupFases!$D$6:$N$219,U$4,FALSE),0)</f>
        <v>7</v>
      </c>
      <c r="V36" s="22">
        <f>I36+ IFERROR(VLOOKUP($D36,[1]ClassGrupFases!$D$6:$N$111,V$4,FALSE),0)+IFERROR(VLOOKUP($D36,[2]ClassGrupFases!$D$6:$N$219,V$4,FALSE),0)</f>
        <v>2</v>
      </c>
      <c r="W36" s="22">
        <f>J36+ IFERROR(VLOOKUP($D36,[1]ClassGrupFases!$D$6:$N$111,W$4,FALSE),0)+IFERROR(VLOOKUP($D36,[2]ClassGrupFases!$D$6:$N$219,W$4,FALSE),0)</f>
        <v>9</v>
      </c>
      <c r="X36" s="22">
        <f ca="1">K36+ IFERROR(VLOOKUP($D36,[1]ClassGrupFases!$D$6:$N$111,X$4,FALSE),0)+IFERROR(VLOOKUP($D36,[2]ClassGrupFases!$D$6:$N$219,X$4,FALSE),0)</f>
        <v>34</v>
      </c>
      <c r="Y36" s="22">
        <f ca="1">L36+ IFERROR(VLOOKUP($D36,[1]ClassGrupFases!$D$6:$N$111,Y$4,FALSE),0)+IFERROR(VLOOKUP($D36,[2]ClassGrupFases!$D$6:$N$219,Y$4,FALSE),0)</f>
        <v>29</v>
      </c>
      <c r="Z36" s="23">
        <f t="shared" ca="1" si="50"/>
        <v>5</v>
      </c>
      <c r="AA36" s="23">
        <f t="shared" ca="1" si="51"/>
        <v>44.963126232592586</v>
      </c>
    </row>
    <row r="37" spans="1:27" x14ac:dyDescent="0.15">
      <c r="A37" s="23" t="str">
        <f t="shared" ca="1" si="40"/>
        <v>2D</v>
      </c>
      <c r="B37" s="23" t="s">
        <v>18</v>
      </c>
      <c r="C37" s="23">
        <f t="shared" ca="1" si="41"/>
        <v>2</v>
      </c>
      <c r="D37" s="24" t="str">
        <f>VLOOKUP($O37, Equipes!$A$3:$B$44, 2, FALSE)</f>
        <v>Israel RJ</v>
      </c>
      <c r="E37" s="31">
        <f t="shared" si="42"/>
        <v>0.72222222222222221</v>
      </c>
      <c r="F37" s="23">
        <f t="shared" si="43"/>
        <v>13</v>
      </c>
      <c r="G37" s="23">
        <f>COUNTIF(Jogos!$M$1:$N$136, $D37)</f>
        <v>6</v>
      </c>
      <c r="H37" s="23">
        <f>COUNTIF(Jogos!$O$1:$O$136, $D37)</f>
        <v>4</v>
      </c>
      <c r="I37" s="23">
        <f>COUNTIF(Jogos!$P$1:$Q$136, $D37)</f>
        <v>1</v>
      </c>
      <c r="J37" s="23">
        <f>COUNTIF(Jogos!$R$1:$R$136, $D37)</f>
        <v>1</v>
      </c>
      <c r="K37" s="23">
        <f ca="1">SUMIF(Jogos!$S$1:$T$136, $D37, Jogos!$T$1:$T$136)+SUMIF(Jogos!$U$1:$V$136, $D37, Jogos!$V$1:$V$136)</f>
        <v>14</v>
      </c>
      <c r="L37" s="23">
        <f ca="1">SUMIF(Jogos!$S$1:$V$136, $D37, Jogos!$V$1:$V$136)+SUMIF(Jogos!$U$1:$W$136, $D37, Jogos!$W$1:$W$136)</f>
        <v>8</v>
      </c>
      <c r="M37" s="23">
        <f t="shared" ca="1" si="44"/>
        <v>6</v>
      </c>
      <c r="N37" s="23">
        <f t="shared" ca="1" si="45"/>
        <v>73.562835852222236</v>
      </c>
      <c r="O37" s="25">
        <v>26</v>
      </c>
      <c r="P37" s="25">
        <f t="shared" ca="1" si="46"/>
        <v>73.562836222222231</v>
      </c>
      <c r="Q37" s="25">
        <f t="shared" ca="1" si="47"/>
        <v>2</v>
      </c>
      <c r="R37" s="31">
        <f t="shared" si="48"/>
        <v>0.5</v>
      </c>
      <c r="S37" s="23">
        <f t="shared" si="49"/>
        <v>27</v>
      </c>
      <c r="T37" s="22">
        <f>G37+ IFERROR(VLOOKUP($D37,[1]ClassGrupFases!$D$6:$N$111,T$4,FALSE),0)+IFERROR(VLOOKUP($D37,[2]ClassGrupFases!$D$6:$N$219,T$4,FALSE),0)</f>
        <v>18</v>
      </c>
      <c r="U37" s="22">
        <f>H37+ IFERROR(VLOOKUP($D37,[1]ClassGrupFases!$D$6:$N$111,U$4,FALSE),0)+IFERROR(VLOOKUP($D37,[2]ClassGrupFases!$D$6:$N$219,U$4,FALSE),0)</f>
        <v>8</v>
      </c>
      <c r="V37" s="22">
        <f>I37+ IFERROR(VLOOKUP($D37,[1]ClassGrupFases!$D$6:$N$111,V$4,FALSE),0)+IFERROR(VLOOKUP($D37,[2]ClassGrupFases!$D$6:$N$219,V$4,FALSE),0)</f>
        <v>3</v>
      </c>
      <c r="W37" s="22">
        <f>J37+ IFERROR(VLOOKUP($D37,[1]ClassGrupFases!$D$6:$N$111,W$4,FALSE),0)+IFERROR(VLOOKUP($D37,[2]ClassGrupFases!$D$6:$N$219,W$4,FALSE),0)</f>
        <v>7</v>
      </c>
      <c r="X37" s="22">
        <f ca="1">K37+ IFERROR(VLOOKUP($D37,[1]ClassGrupFases!$D$6:$N$111,X$4,FALSE),0)+IFERROR(VLOOKUP($D37,[2]ClassGrupFases!$D$6:$N$219,X$4,FALSE),0)</f>
        <v>37</v>
      </c>
      <c r="Y37" s="22">
        <f ca="1">L37+ IFERROR(VLOOKUP($D37,[1]ClassGrupFases!$D$6:$N$111,Y$4,FALSE),0)+IFERROR(VLOOKUP($D37,[2]ClassGrupFases!$D$6:$N$219,Y$4,FALSE),0)</f>
        <v>43</v>
      </c>
      <c r="Z37" s="23">
        <f t="shared" ca="1" si="50"/>
        <v>-6</v>
      </c>
      <c r="AA37" s="23">
        <f t="shared" ca="1" si="51"/>
        <v>52.779436629999999</v>
      </c>
    </row>
    <row r="38" spans="1:27" x14ac:dyDescent="0.15">
      <c r="A38" s="23" t="str">
        <f t="shared" ca="1" si="40"/>
        <v>1D</v>
      </c>
      <c r="B38" s="23" t="s">
        <v>18</v>
      </c>
      <c r="C38" s="23">
        <f t="shared" ca="1" si="41"/>
        <v>1</v>
      </c>
      <c r="D38" s="24" t="str">
        <f>VLOOKUP($O38, Equipes!$A$3:$B$44, 2, FALSE)</f>
        <v>Tabajara SP</v>
      </c>
      <c r="E38" s="31">
        <f t="shared" si="42"/>
        <v>0.77777777777777779</v>
      </c>
      <c r="F38" s="23">
        <f t="shared" si="43"/>
        <v>14</v>
      </c>
      <c r="G38" s="23">
        <f>COUNTIF(Jogos!$M$1:$N$136, $D38)</f>
        <v>6</v>
      </c>
      <c r="H38" s="23">
        <f>COUNTIF(Jogos!$O$1:$O$136, $D38)</f>
        <v>4</v>
      </c>
      <c r="I38" s="23">
        <f>COUNTIF(Jogos!$P$1:$Q$136, $D38)</f>
        <v>2</v>
      </c>
      <c r="J38" s="23">
        <f>COUNTIF(Jogos!$R$1:$R$136, $D38)</f>
        <v>0</v>
      </c>
      <c r="K38" s="23">
        <f ca="1">SUMIF(Jogos!$S$1:$T$136, $D38, Jogos!$T$1:$T$136)+SUMIF(Jogos!$U$1:$V$136, $D38, Jogos!$V$1:$V$136)</f>
        <v>13</v>
      </c>
      <c r="L38" s="23">
        <f ca="1">SUMIF(Jogos!$S$1:$V$136, $D38, Jogos!$V$1:$V$136)+SUMIF(Jogos!$U$1:$W$136, $D38, Jogos!$W$1:$W$136)</f>
        <v>6</v>
      </c>
      <c r="M38" s="23">
        <f t="shared" ca="1" si="44"/>
        <v>7</v>
      </c>
      <c r="N38" s="23">
        <f t="shared" ca="1" si="45"/>
        <v>79.218490397777771</v>
      </c>
      <c r="O38" s="25">
        <v>27</v>
      </c>
      <c r="P38" s="25">
        <f t="shared" ca="1" si="46"/>
        <v>79.218490777777774</v>
      </c>
      <c r="Q38" s="25">
        <f t="shared" ca="1" si="47"/>
        <v>1</v>
      </c>
      <c r="R38" s="31">
        <f t="shared" si="48"/>
        <v>0.48148148148148145</v>
      </c>
      <c r="S38" s="23">
        <f t="shared" si="49"/>
        <v>26</v>
      </c>
      <c r="T38" s="22">
        <f>G38+ IFERROR(VLOOKUP($D38,[1]ClassGrupFases!$D$6:$N$111,T$4,FALSE),0)+IFERROR(VLOOKUP($D38,[2]ClassGrupFases!$D$6:$N$219,T$4,FALSE),0)</f>
        <v>18</v>
      </c>
      <c r="U38" s="22">
        <f>H38+ IFERROR(VLOOKUP($D38,[1]ClassGrupFases!$D$6:$N$111,U$4,FALSE),0)+IFERROR(VLOOKUP($D38,[2]ClassGrupFases!$D$6:$N$219,U$4,FALSE),0)</f>
        <v>7</v>
      </c>
      <c r="V38" s="22">
        <f>I38+ IFERROR(VLOOKUP($D38,[1]ClassGrupFases!$D$6:$N$111,V$4,FALSE),0)+IFERROR(VLOOKUP($D38,[2]ClassGrupFases!$D$6:$N$219,V$4,FALSE),0)</f>
        <v>5</v>
      </c>
      <c r="W38" s="22">
        <f>J38+ IFERROR(VLOOKUP($D38,[1]ClassGrupFases!$D$6:$N$111,W$4,FALSE),0)+IFERROR(VLOOKUP($D38,[2]ClassGrupFases!$D$6:$N$219,W$4,FALSE),0)</f>
        <v>6</v>
      </c>
      <c r="X38" s="22">
        <f ca="1">K38+ IFERROR(VLOOKUP($D38,[1]ClassGrupFases!$D$6:$N$111,X$4,FALSE),0)+IFERROR(VLOOKUP($D38,[2]ClassGrupFases!$D$6:$N$219,X$4,FALSE),0)</f>
        <v>40</v>
      </c>
      <c r="Y38" s="22">
        <f ca="1">L38+ IFERROR(VLOOKUP($D38,[1]ClassGrupFases!$D$6:$N$111,Y$4,FALSE),0)+IFERROR(VLOOKUP($D38,[2]ClassGrupFases!$D$6:$N$219,Y$4,FALSE),0)</f>
        <v>30</v>
      </c>
      <c r="Z38" s="23">
        <f t="shared" ca="1" si="50"/>
        <v>10</v>
      </c>
      <c r="AA38" s="23">
        <f t="shared" ca="1" si="51"/>
        <v>50.81918776814814</v>
      </c>
    </row>
    <row r="39" spans="1:27" x14ac:dyDescent="0.15">
      <c r="A39" s="23" t="str">
        <f t="shared" ca="1" si="40"/>
        <v>5D</v>
      </c>
      <c r="B39" s="23" t="s">
        <v>18</v>
      </c>
      <c r="C39" s="23">
        <f t="shared" ca="1" si="41"/>
        <v>5</v>
      </c>
      <c r="D39" s="24" t="str">
        <f>VLOOKUP($O39, Equipes!$A$3:$B$44, 2, FALSE)</f>
        <v>Claudio Mastrangelo RS</v>
      </c>
      <c r="E39" s="31">
        <f t="shared" si="42"/>
        <v>0.3888888888888889</v>
      </c>
      <c r="F39" s="23">
        <f t="shared" si="43"/>
        <v>7</v>
      </c>
      <c r="G39" s="23">
        <f>COUNTIF(Jogos!$M$1:$N$136, $D39)</f>
        <v>6</v>
      </c>
      <c r="H39" s="23">
        <f>COUNTIF(Jogos!$O$1:$O$136, $D39)</f>
        <v>2</v>
      </c>
      <c r="I39" s="23">
        <f>COUNTIF(Jogos!$P$1:$Q$136, $D39)</f>
        <v>1</v>
      </c>
      <c r="J39" s="23">
        <f>COUNTIF(Jogos!$R$1:$R$136, $D39)</f>
        <v>3</v>
      </c>
      <c r="K39" s="23">
        <f ca="1">SUMIF(Jogos!$S$1:$T$136, $D39, Jogos!$T$1:$T$136)+SUMIF(Jogos!$U$1:$V$136, $D39, Jogos!$V$1:$V$136)</f>
        <v>7</v>
      </c>
      <c r="L39" s="23">
        <f ca="1">SUMIF(Jogos!$S$1:$V$136, $D39, Jogos!$V$1:$V$136)+SUMIF(Jogos!$U$1:$W$136, $D39, Jogos!$W$1:$W$136)</f>
        <v>10</v>
      </c>
      <c r="M39" s="23">
        <f t="shared" ca="1" si="44"/>
        <v>-3</v>
      </c>
      <c r="N39" s="23">
        <f t="shared" ca="1" si="45"/>
        <v>39.608595498888889</v>
      </c>
      <c r="O39" s="25">
        <v>28</v>
      </c>
      <c r="P39" s="25">
        <f t="shared" ca="1" si="46"/>
        <v>39.608595888888885</v>
      </c>
      <c r="Q39" s="25">
        <f t="shared" ca="1" si="47"/>
        <v>5</v>
      </c>
      <c r="R39" s="31">
        <f t="shared" si="48"/>
        <v>0.33333333333333331</v>
      </c>
      <c r="S39" s="23">
        <f t="shared" si="49"/>
        <v>18</v>
      </c>
      <c r="T39" s="22">
        <f>G39+ IFERROR(VLOOKUP($D39,[1]ClassGrupFases!$D$6:$N$111,T$4,FALSE),0)+IFERROR(VLOOKUP($D39,[2]ClassGrupFases!$D$6:$N$219,T$4,FALSE),0)</f>
        <v>18</v>
      </c>
      <c r="U39" s="22">
        <f>H39+ IFERROR(VLOOKUP($D39,[1]ClassGrupFases!$D$6:$N$111,U$4,FALSE),0)+IFERROR(VLOOKUP($D39,[2]ClassGrupFases!$D$6:$N$219,U$4,FALSE),0)</f>
        <v>5</v>
      </c>
      <c r="V39" s="22">
        <f>I39+ IFERROR(VLOOKUP($D39,[1]ClassGrupFases!$D$6:$N$111,V$4,FALSE),0)+IFERROR(VLOOKUP($D39,[2]ClassGrupFases!$D$6:$N$219,V$4,FALSE),0)</f>
        <v>3</v>
      </c>
      <c r="W39" s="22">
        <f>J39+ IFERROR(VLOOKUP($D39,[1]ClassGrupFases!$D$6:$N$111,W$4,FALSE),0)+IFERROR(VLOOKUP($D39,[2]ClassGrupFases!$D$6:$N$219,W$4,FALSE),0)</f>
        <v>10</v>
      </c>
      <c r="X39" s="22">
        <f ca="1">K39+ IFERROR(VLOOKUP($D39,[1]ClassGrupFases!$D$6:$N$111,X$4,FALSE),0)+IFERROR(VLOOKUP($D39,[2]ClassGrupFases!$D$6:$N$219,X$4,FALSE),0)</f>
        <v>17</v>
      </c>
      <c r="Y39" s="22">
        <f ca="1">L39+ IFERROR(VLOOKUP($D39,[1]ClassGrupFases!$D$6:$N$111,Y$4,FALSE),0)+IFERROR(VLOOKUP($D39,[2]ClassGrupFases!$D$6:$N$219,Y$4,FALSE),0)</f>
        <v>31</v>
      </c>
      <c r="Z39" s="23">
        <f t="shared" ca="1" si="50"/>
        <v>-14</v>
      </c>
      <c r="AA39" s="23">
        <f t="shared" ca="1" si="51"/>
        <v>35.181949943333329</v>
      </c>
    </row>
    <row r="41" spans="1:27" ht="25.5" x14ac:dyDescent="0.5">
      <c r="A41" s="23" t="s">
        <v>36</v>
      </c>
      <c r="B41" s="23" t="s">
        <v>17</v>
      </c>
      <c r="C41" s="27" t="s">
        <v>17</v>
      </c>
      <c r="D41" s="28" t="s">
        <v>37</v>
      </c>
      <c r="E41" s="30" t="s">
        <v>38</v>
      </c>
      <c r="F41" s="30" t="s">
        <v>39</v>
      </c>
      <c r="G41" s="30" t="s">
        <v>15</v>
      </c>
      <c r="H41" s="30" t="s">
        <v>16</v>
      </c>
      <c r="I41" s="30" t="s">
        <v>17</v>
      </c>
      <c r="J41" s="30" t="s">
        <v>18</v>
      </c>
      <c r="K41" s="30" t="s">
        <v>40</v>
      </c>
      <c r="L41" s="30" t="s">
        <v>41</v>
      </c>
      <c r="M41" s="30" t="s">
        <v>42</v>
      </c>
      <c r="N41" s="29" t="s">
        <v>43</v>
      </c>
      <c r="R41" s="30" t="s">
        <v>38</v>
      </c>
      <c r="S41" s="30" t="s">
        <v>39</v>
      </c>
      <c r="T41" s="30" t="s">
        <v>15</v>
      </c>
      <c r="U41" s="30" t="s">
        <v>16</v>
      </c>
      <c r="V41" s="30" t="s">
        <v>17</v>
      </c>
      <c r="W41" s="30" t="s">
        <v>18</v>
      </c>
      <c r="X41" s="30" t="s">
        <v>40</v>
      </c>
      <c r="Y41" s="30" t="s">
        <v>41</v>
      </c>
      <c r="Z41" s="30" t="s">
        <v>42</v>
      </c>
      <c r="AA41" s="29" t="s">
        <v>43</v>
      </c>
    </row>
    <row r="42" spans="1:27" x14ac:dyDescent="0.15">
      <c r="A42" s="23" t="str">
        <f t="shared" ref="A42:A48" ca="1" si="52">CONCATENATE(C42,B42)</f>
        <v>2E</v>
      </c>
      <c r="B42" s="23" t="s">
        <v>17</v>
      </c>
      <c r="C42" s="23">
        <f t="shared" ref="C42:C48" ca="1" si="53">IF(SUM($G$42:$G$48)=0,0,_xlfn.RANK.EQ(N42,$N$42:$N$48))</f>
        <v>2</v>
      </c>
      <c r="D42" s="24" t="str">
        <f>VLOOKUP($O42, Equipes!$A$3:$B$44, 2, FALSE)</f>
        <v>Alex Lage MG</v>
      </c>
      <c r="E42" s="31">
        <f t="shared" ref="E42:E48" si="54">IF(G42=0,0,(F42)/(G42*3))</f>
        <v>0.72222222222222221</v>
      </c>
      <c r="F42" s="23">
        <f t="shared" ref="F42:F48" si="55">(H42*3)+(I42*1)</f>
        <v>13</v>
      </c>
      <c r="G42" s="23">
        <f>COUNTIF(Jogos!$M$1:$N$136, $D42)</f>
        <v>6</v>
      </c>
      <c r="H42" s="23">
        <f>COUNTIF(Jogos!$O$1:$O$136, $D42)</f>
        <v>4</v>
      </c>
      <c r="I42" s="23">
        <f>COUNTIF(Jogos!$P$1:$Q$136, $D42)</f>
        <v>1</v>
      </c>
      <c r="J42" s="23">
        <f>COUNTIF(Jogos!$R$1:$R$136, $D42)</f>
        <v>1</v>
      </c>
      <c r="K42" s="23">
        <f ca="1">SUMIF(Jogos!$S$1:$T$136, $D42, Jogos!$T$1:$T$136)+SUMIF(Jogos!$U$1:$V$136, $D42, Jogos!$V$1:$V$136)</f>
        <v>17</v>
      </c>
      <c r="L42" s="23">
        <f ca="1">SUMIF(Jogos!$S$1:$V$136, $D42, Jogos!$V$1:$V$136)+SUMIF(Jogos!$U$1:$W$136, $D42, Jogos!$W$1:$W$136)</f>
        <v>12</v>
      </c>
      <c r="M42" s="23">
        <f t="shared" ref="M42:M48" ca="1" si="56">K42-L42</f>
        <v>5</v>
      </c>
      <c r="N42" s="23">
        <f t="shared" ref="N42:N48" ca="1" si="57">(E42*E$3+F42*F$3+H42*H$3+M42*M$3+K42*K$3)/(E$3/100)-ROW(N42)/E$3</f>
        <v>73.562738802222214</v>
      </c>
      <c r="O42" s="25">
        <v>29</v>
      </c>
      <c r="P42" s="25">
        <f t="shared" ref="P42:P48" ca="1" si="58">(E42*E$3+F42*F$3+H42*H$3+M42*M$3+K42*K$3)/(E$3/100)</f>
        <v>73.56273922222222</v>
      </c>
      <c r="Q42" s="25">
        <f t="shared" ref="Q42:Q48" ca="1" si="59">IF(SUM($G$42:$G$48)=0,0,_xlfn.RANK.EQ(P42,$P$42:$P$48))</f>
        <v>2</v>
      </c>
      <c r="R42" s="31">
        <f t="shared" ref="R42:R48" si="60">IF(T42=0,0,(S42)/(T42*3))</f>
        <v>0.59259259259259256</v>
      </c>
      <c r="S42" s="23">
        <f t="shared" ref="S42:S48" si="61">(U42*3)+(V42*1)</f>
        <v>32</v>
      </c>
      <c r="T42" s="22">
        <f>G42+ IFERROR(VLOOKUP($D42,[1]ClassGrupFases!$D$6:$N$111,T$4,FALSE),0)+IFERROR(VLOOKUP($D42,[2]ClassGrupFases!$D$6:$N$219,T$4,FALSE),0)</f>
        <v>18</v>
      </c>
      <c r="U42" s="22">
        <f>H42+ IFERROR(VLOOKUP($D42,[1]ClassGrupFases!$D$6:$N$111,U$4,FALSE),0)+IFERROR(VLOOKUP($D42,[2]ClassGrupFases!$D$6:$N$219,U$4,FALSE),0)</f>
        <v>9</v>
      </c>
      <c r="V42" s="22">
        <f>I42+ IFERROR(VLOOKUP($D42,[1]ClassGrupFases!$D$6:$N$111,V$4,FALSE),0)+IFERROR(VLOOKUP($D42,[2]ClassGrupFases!$D$6:$N$219,V$4,FALSE),0)</f>
        <v>5</v>
      </c>
      <c r="W42" s="22">
        <f>J42+ IFERROR(VLOOKUP($D42,[1]ClassGrupFases!$D$6:$N$111,W$4,FALSE),0)+IFERROR(VLOOKUP($D42,[2]ClassGrupFases!$D$6:$N$219,W$4,FALSE),0)</f>
        <v>4</v>
      </c>
      <c r="X42" s="22">
        <f ca="1">K42+ IFERROR(VLOOKUP($D42,[1]ClassGrupFases!$D$6:$N$111,X$4,FALSE),0)+IFERROR(VLOOKUP($D42,[2]ClassGrupFases!$D$6:$N$219,X$4,FALSE),0)</f>
        <v>38</v>
      </c>
      <c r="Y42" s="22">
        <f ca="1">L42+ IFERROR(VLOOKUP($D42,[1]ClassGrupFases!$D$6:$N$111,Y$4,FALSE),0)+IFERROR(VLOOKUP($D42,[2]ClassGrupFases!$D$6:$N$219,Y$4,FALSE),0)</f>
        <v>29</v>
      </c>
      <c r="Z42" s="23">
        <f t="shared" ref="Z42:Z48" ca="1" si="62">X42-Y42</f>
        <v>9</v>
      </c>
      <c r="AA42" s="23">
        <f t="shared" ref="AA42:AA48" ca="1" si="63">(R42*R$3+S42*S$3+U42*U$3+Z42*Z$3+X42*X$3)/(R$3/100)-ROW(AA42)/R$3</f>
        <v>62.550196839259257</v>
      </c>
    </row>
    <row r="43" spans="1:27" x14ac:dyDescent="0.15">
      <c r="A43" s="23" t="str">
        <f t="shared" ca="1" si="52"/>
        <v>5E</v>
      </c>
      <c r="B43" s="23" t="s">
        <v>17</v>
      </c>
      <c r="C43" s="23">
        <f t="shared" ca="1" si="53"/>
        <v>5</v>
      </c>
      <c r="D43" s="24" t="str">
        <f>VLOOKUP($O43, Equipes!$A$3:$B$44, 2, FALSE)</f>
        <v>André Araújo AM</v>
      </c>
      <c r="E43" s="31">
        <f t="shared" si="54"/>
        <v>0.33333333333333331</v>
      </c>
      <c r="F43" s="23">
        <f t="shared" si="55"/>
        <v>6</v>
      </c>
      <c r="G43" s="23">
        <f>COUNTIF(Jogos!$M$1:$N$136, $D43)</f>
        <v>6</v>
      </c>
      <c r="H43" s="23">
        <f>COUNTIF(Jogos!$O$1:$O$136, $D43)</f>
        <v>2</v>
      </c>
      <c r="I43" s="23">
        <f>COUNTIF(Jogos!$P$1:$Q$136, $D43)</f>
        <v>0</v>
      </c>
      <c r="J43" s="23">
        <f>COUNTIF(Jogos!$R$1:$R$136, $D43)</f>
        <v>4</v>
      </c>
      <c r="K43" s="23">
        <f ca="1">SUMIF(Jogos!$S$1:$T$136, $D43, Jogos!$T$1:$T$136)+SUMIF(Jogos!$U$1:$V$136, $D43, Jogos!$V$1:$V$136)</f>
        <v>11</v>
      </c>
      <c r="L43" s="23">
        <f ca="1">SUMIF(Jogos!$S$1:$V$136, $D43, Jogos!$V$1:$V$136)+SUMIF(Jogos!$U$1:$W$136, $D43, Jogos!$W$1:$W$136)</f>
        <v>15</v>
      </c>
      <c r="M43" s="23">
        <f t="shared" ca="1" si="56"/>
        <v>-4</v>
      </c>
      <c r="N43" s="23">
        <f t="shared" ca="1" si="57"/>
        <v>33.952943903333328</v>
      </c>
      <c r="O43" s="25">
        <v>30</v>
      </c>
      <c r="P43" s="25">
        <f t="shared" ca="1" si="58"/>
        <v>33.952944333333328</v>
      </c>
      <c r="Q43" s="25">
        <f t="shared" ca="1" si="59"/>
        <v>5</v>
      </c>
      <c r="R43" s="31">
        <f t="shared" si="60"/>
        <v>0.42592592592592593</v>
      </c>
      <c r="S43" s="23">
        <f t="shared" si="61"/>
        <v>23</v>
      </c>
      <c r="T43" s="22">
        <f>G43+ IFERROR(VLOOKUP($D43,[1]ClassGrupFases!$D$6:$N$111,T$4,FALSE),0)+IFERROR(VLOOKUP($D43,[2]ClassGrupFases!$D$6:$N$219,T$4,FALSE),0)</f>
        <v>18</v>
      </c>
      <c r="U43" s="22">
        <f>H43+ IFERROR(VLOOKUP($D43,[1]ClassGrupFases!$D$6:$N$111,U$4,FALSE),0)+IFERROR(VLOOKUP($D43,[2]ClassGrupFases!$D$6:$N$219,U$4,FALSE),0)</f>
        <v>7</v>
      </c>
      <c r="V43" s="22">
        <f>I43+ IFERROR(VLOOKUP($D43,[1]ClassGrupFases!$D$6:$N$111,V$4,FALSE),0)+IFERROR(VLOOKUP($D43,[2]ClassGrupFases!$D$6:$N$219,V$4,FALSE),0)</f>
        <v>2</v>
      </c>
      <c r="W43" s="22">
        <f>J43+ IFERROR(VLOOKUP($D43,[1]ClassGrupFases!$D$6:$N$111,W$4,FALSE),0)+IFERROR(VLOOKUP($D43,[2]ClassGrupFases!$D$6:$N$219,W$4,FALSE),0)</f>
        <v>9</v>
      </c>
      <c r="X43" s="22">
        <f ca="1">K43+ IFERROR(VLOOKUP($D43,[1]ClassGrupFases!$D$6:$N$111,X$4,FALSE),0)+IFERROR(VLOOKUP($D43,[2]ClassGrupFases!$D$6:$N$219,X$4,FALSE),0)</f>
        <v>28</v>
      </c>
      <c r="Y43" s="22">
        <f ca="1">L43+ IFERROR(VLOOKUP($D43,[1]ClassGrupFases!$D$6:$N$111,Y$4,FALSE),0)+IFERROR(VLOOKUP($D43,[2]ClassGrupFases!$D$6:$N$219,Y$4,FALSE),0)</f>
        <v>34</v>
      </c>
      <c r="Z43" s="23">
        <f t="shared" ca="1" si="62"/>
        <v>-6</v>
      </c>
      <c r="AA43" s="23">
        <f t="shared" ca="1" si="63"/>
        <v>44.962020162592587</v>
      </c>
    </row>
    <row r="44" spans="1:27" x14ac:dyDescent="0.15">
      <c r="A44" s="23" t="str">
        <f t="shared" ca="1" si="52"/>
        <v>4E</v>
      </c>
      <c r="B44" s="23" t="s">
        <v>17</v>
      </c>
      <c r="C44" s="23">
        <f t="shared" ca="1" si="53"/>
        <v>4</v>
      </c>
      <c r="D44" s="24" t="str">
        <f>VLOOKUP($O44, Equipes!$A$3:$B$44, 2, FALSE)</f>
        <v>João Carlos RJ</v>
      </c>
      <c r="E44" s="31">
        <f t="shared" si="54"/>
        <v>0.5</v>
      </c>
      <c r="F44" s="23">
        <f t="shared" si="55"/>
        <v>9</v>
      </c>
      <c r="G44" s="23">
        <f>COUNTIF(Jogos!$M$1:$N$136, $D44)</f>
        <v>6</v>
      </c>
      <c r="H44" s="23">
        <f>COUNTIF(Jogos!$O$1:$O$136, $D44)</f>
        <v>3</v>
      </c>
      <c r="I44" s="23">
        <f>COUNTIF(Jogos!$P$1:$Q$136, $D44)</f>
        <v>0</v>
      </c>
      <c r="J44" s="23">
        <f>COUNTIF(Jogos!$R$1:$R$136, $D44)</f>
        <v>3</v>
      </c>
      <c r="K44" s="23">
        <f ca="1">SUMIF(Jogos!$S$1:$T$136, $D44, Jogos!$T$1:$T$136)+SUMIF(Jogos!$U$1:$V$136, $D44, Jogos!$V$1:$V$136)</f>
        <v>14</v>
      </c>
      <c r="L44" s="23">
        <f ca="1">SUMIF(Jogos!$S$1:$V$136, $D44, Jogos!$V$1:$V$136)+SUMIF(Jogos!$U$1:$W$136, $D44, Jogos!$W$1:$W$136)</f>
        <v>11</v>
      </c>
      <c r="M44" s="23">
        <f t="shared" ca="1" si="56"/>
        <v>3</v>
      </c>
      <c r="N44" s="23">
        <f t="shared" ca="1" si="57"/>
        <v>50.930313560000002</v>
      </c>
      <c r="O44" s="25">
        <v>31</v>
      </c>
      <c r="P44" s="25">
        <f t="shared" ca="1" si="58"/>
        <v>50.930314000000003</v>
      </c>
      <c r="Q44" s="25">
        <f t="shared" ca="1" si="59"/>
        <v>4</v>
      </c>
      <c r="R44" s="31">
        <f t="shared" si="60"/>
        <v>0.55555555555555558</v>
      </c>
      <c r="S44" s="23">
        <f t="shared" si="61"/>
        <v>30</v>
      </c>
      <c r="T44" s="22">
        <f>G44+ IFERROR(VLOOKUP($D44,[1]ClassGrupFases!$D$6:$N$111,T$4,FALSE),0)+IFERROR(VLOOKUP($D44,[2]ClassGrupFases!$D$6:$N$219,T$4,FALSE),0)</f>
        <v>18</v>
      </c>
      <c r="U44" s="22">
        <f>H44+ IFERROR(VLOOKUP($D44,[1]ClassGrupFases!$D$6:$N$111,U$4,FALSE),0)+IFERROR(VLOOKUP($D44,[2]ClassGrupFases!$D$6:$N$219,U$4,FALSE),0)</f>
        <v>10</v>
      </c>
      <c r="V44" s="22">
        <f>I44+ IFERROR(VLOOKUP($D44,[1]ClassGrupFases!$D$6:$N$111,V$4,FALSE),0)+IFERROR(VLOOKUP($D44,[2]ClassGrupFases!$D$6:$N$219,V$4,FALSE),0)</f>
        <v>0</v>
      </c>
      <c r="W44" s="22">
        <f>J44+ IFERROR(VLOOKUP($D44,[1]ClassGrupFases!$D$6:$N$111,W$4,FALSE),0)+IFERROR(VLOOKUP($D44,[2]ClassGrupFases!$D$6:$N$219,W$4,FALSE),0)</f>
        <v>8</v>
      </c>
      <c r="X44" s="22">
        <f ca="1">K44+ IFERROR(VLOOKUP($D44,[1]ClassGrupFases!$D$6:$N$111,X$4,FALSE),0)+IFERROR(VLOOKUP($D44,[2]ClassGrupFases!$D$6:$N$219,X$4,FALSE),0)</f>
        <v>43</v>
      </c>
      <c r="Y44" s="22">
        <f ca="1">L44+ IFERROR(VLOOKUP($D44,[1]ClassGrupFases!$D$6:$N$111,Y$4,FALSE),0)+IFERROR(VLOOKUP($D44,[2]ClassGrupFases!$D$6:$N$219,Y$4,FALSE),0)</f>
        <v>39</v>
      </c>
      <c r="Z44" s="23">
        <f t="shared" ca="1" si="62"/>
        <v>4</v>
      </c>
      <c r="AA44" s="23">
        <f t="shared" ca="1" si="63"/>
        <v>58.655998115555562</v>
      </c>
    </row>
    <row r="45" spans="1:27" x14ac:dyDescent="0.15">
      <c r="A45" s="23" t="str">
        <f t="shared" ca="1" si="52"/>
        <v>3E</v>
      </c>
      <c r="B45" s="23" t="s">
        <v>17</v>
      </c>
      <c r="C45" s="23">
        <f t="shared" ca="1" si="53"/>
        <v>3</v>
      </c>
      <c r="D45" s="24" t="str">
        <f>VLOOKUP($O45, Equipes!$A$3:$B$44, 2, FALSE)</f>
        <v>Vinicius Rolim RJ</v>
      </c>
      <c r="E45" s="31">
        <f t="shared" si="54"/>
        <v>0.72222222222222221</v>
      </c>
      <c r="F45" s="23">
        <f t="shared" si="55"/>
        <v>13</v>
      </c>
      <c r="G45" s="23">
        <f>COUNTIF(Jogos!$M$1:$N$136, $D45)</f>
        <v>6</v>
      </c>
      <c r="H45" s="23">
        <f>COUNTIF(Jogos!$O$1:$O$136, $D45)</f>
        <v>4</v>
      </c>
      <c r="I45" s="23">
        <f>COUNTIF(Jogos!$P$1:$Q$136, $D45)</f>
        <v>1</v>
      </c>
      <c r="J45" s="23">
        <f>COUNTIF(Jogos!$R$1:$R$136, $D45)</f>
        <v>1</v>
      </c>
      <c r="K45" s="23">
        <f ca="1">SUMIF(Jogos!$S$1:$T$136, $D45, Jogos!$T$1:$T$136)+SUMIF(Jogos!$U$1:$V$136, $D45, Jogos!$V$1:$V$136)</f>
        <v>18</v>
      </c>
      <c r="L45" s="23">
        <f ca="1">SUMIF(Jogos!$S$1:$V$136, $D45, Jogos!$V$1:$V$136)+SUMIF(Jogos!$U$1:$W$136, $D45, Jogos!$W$1:$W$136)</f>
        <v>14</v>
      </c>
      <c r="M45" s="23">
        <f t="shared" ca="1" si="56"/>
        <v>4</v>
      </c>
      <c r="N45" s="23">
        <f t="shared" ca="1" si="57"/>
        <v>73.562639772222226</v>
      </c>
      <c r="O45" s="25">
        <v>32</v>
      </c>
      <c r="P45" s="25">
        <f t="shared" ca="1" si="58"/>
        <v>73.562640222222228</v>
      </c>
      <c r="Q45" s="25">
        <f t="shared" ca="1" si="59"/>
        <v>3</v>
      </c>
      <c r="R45" s="31">
        <f t="shared" si="60"/>
        <v>0.53703703703703709</v>
      </c>
      <c r="S45" s="23">
        <f t="shared" si="61"/>
        <v>29</v>
      </c>
      <c r="T45" s="22">
        <f>G45+ IFERROR(VLOOKUP($D45,[1]ClassGrupFases!$D$6:$N$111,T$4,FALSE),0)+IFERROR(VLOOKUP($D45,[2]ClassGrupFases!$D$6:$N$219,T$4,FALSE),0)</f>
        <v>18</v>
      </c>
      <c r="U45" s="22">
        <f>H45+ IFERROR(VLOOKUP($D45,[1]ClassGrupFases!$D$6:$N$111,U$4,FALSE),0)+IFERROR(VLOOKUP($D45,[2]ClassGrupFases!$D$6:$N$219,U$4,FALSE),0)</f>
        <v>8</v>
      </c>
      <c r="V45" s="22">
        <f>I45+ IFERROR(VLOOKUP($D45,[1]ClassGrupFases!$D$6:$N$111,V$4,FALSE),0)+IFERROR(VLOOKUP($D45,[2]ClassGrupFases!$D$6:$N$219,V$4,FALSE),0)</f>
        <v>5</v>
      </c>
      <c r="W45" s="22">
        <f>J45+ IFERROR(VLOOKUP($D45,[1]ClassGrupFases!$D$6:$N$111,W$4,FALSE),0)+IFERROR(VLOOKUP($D45,[2]ClassGrupFases!$D$6:$N$219,W$4,FALSE),0)</f>
        <v>5</v>
      </c>
      <c r="X45" s="22">
        <f ca="1">K45+ IFERROR(VLOOKUP($D45,[1]ClassGrupFases!$D$6:$N$111,X$4,FALSE),0)+IFERROR(VLOOKUP($D45,[2]ClassGrupFases!$D$6:$N$219,X$4,FALSE),0)</f>
        <v>46</v>
      </c>
      <c r="Y45" s="22">
        <f ca="1">L45+ IFERROR(VLOOKUP($D45,[1]ClassGrupFases!$D$6:$N$111,Y$4,FALSE),0)+IFERROR(VLOOKUP($D45,[2]ClassGrupFases!$D$6:$N$219,Y$4,FALSE),0)</f>
        <v>40</v>
      </c>
      <c r="Z45" s="23">
        <f t="shared" ca="1" si="62"/>
        <v>6</v>
      </c>
      <c r="AA45" s="23">
        <f t="shared" ca="1" si="63"/>
        <v>56.684349253703708</v>
      </c>
    </row>
    <row r="46" spans="1:27" x14ac:dyDescent="0.15">
      <c r="A46" s="23" t="str">
        <f t="shared" ca="1" si="52"/>
        <v>7E</v>
      </c>
      <c r="B46" s="23" t="s">
        <v>17</v>
      </c>
      <c r="C46" s="23">
        <f t="shared" ca="1" si="53"/>
        <v>7</v>
      </c>
      <c r="D46" s="24" t="str">
        <f>VLOOKUP($O46, Equipes!$A$3:$B$44, 2, FALSE)</f>
        <v>Rogério MG</v>
      </c>
      <c r="E46" s="31">
        <f t="shared" si="54"/>
        <v>0.16666666666666666</v>
      </c>
      <c r="F46" s="23">
        <f t="shared" si="55"/>
        <v>3</v>
      </c>
      <c r="G46" s="23">
        <f>COUNTIF(Jogos!$M$1:$N$136, $D46)</f>
        <v>6</v>
      </c>
      <c r="H46" s="23">
        <f>COUNTIF(Jogos!$O$1:$O$136, $D46)</f>
        <v>1</v>
      </c>
      <c r="I46" s="23">
        <f>COUNTIF(Jogos!$P$1:$Q$136, $D46)</f>
        <v>0</v>
      </c>
      <c r="J46" s="23">
        <f>COUNTIF(Jogos!$R$1:$R$136, $D46)</f>
        <v>5</v>
      </c>
      <c r="K46" s="23">
        <f ca="1">SUMIF(Jogos!$S$1:$T$136, $D46, Jogos!$T$1:$T$136)+SUMIF(Jogos!$U$1:$V$136, $D46, Jogos!$V$1:$V$136)</f>
        <v>4</v>
      </c>
      <c r="L46" s="23">
        <f ca="1">SUMIF(Jogos!$S$1:$V$136, $D46, Jogos!$V$1:$V$136)+SUMIF(Jogos!$U$1:$W$136, $D46, Jogos!$W$1:$W$136)</f>
        <v>12</v>
      </c>
      <c r="M46" s="23">
        <f t="shared" ca="1" si="56"/>
        <v>-8</v>
      </c>
      <c r="N46" s="23">
        <f t="shared" ca="1" si="57"/>
        <v>16.975870206666666</v>
      </c>
      <c r="O46" s="25">
        <v>33</v>
      </c>
      <c r="P46" s="25">
        <f t="shared" ca="1" si="58"/>
        <v>16.975870666666665</v>
      </c>
      <c r="Q46" s="25">
        <f t="shared" ca="1" si="59"/>
        <v>7</v>
      </c>
      <c r="R46" s="31">
        <f t="shared" si="60"/>
        <v>0.27777777777777779</v>
      </c>
      <c r="S46" s="23">
        <f t="shared" si="61"/>
        <v>15</v>
      </c>
      <c r="T46" s="22">
        <f>G46+ IFERROR(VLOOKUP($D46,[1]ClassGrupFases!$D$6:$N$111,T$4,FALSE),0)+IFERROR(VLOOKUP($D46,[2]ClassGrupFases!$D$6:$N$219,T$4,FALSE),0)</f>
        <v>18</v>
      </c>
      <c r="U46" s="22">
        <f>H46+ IFERROR(VLOOKUP($D46,[1]ClassGrupFases!$D$6:$N$111,U$4,FALSE),0)+IFERROR(VLOOKUP($D46,[2]ClassGrupFases!$D$6:$N$219,U$4,FALSE),0)</f>
        <v>4</v>
      </c>
      <c r="V46" s="22">
        <f>I46+ IFERROR(VLOOKUP($D46,[1]ClassGrupFases!$D$6:$N$111,V$4,FALSE),0)+IFERROR(VLOOKUP($D46,[2]ClassGrupFases!$D$6:$N$219,V$4,FALSE),0)</f>
        <v>3</v>
      </c>
      <c r="W46" s="22">
        <f>J46+ IFERROR(VLOOKUP($D46,[1]ClassGrupFases!$D$6:$N$111,W$4,FALSE),0)+IFERROR(VLOOKUP($D46,[2]ClassGrupFases!$D$6:$N$219,W$4,FALSE),0)</f>
        <v>11</v>
      </c>
      <c r="X46" s="22">
        <f ca="1">K46+ IFERROR(VLOOKUP($D46,[1]ClassGrupFases!$D$6:$N$111,X$4,FALSE),0)+IFERROR(VLOOKUP($D46,[2]ClassGrupFases!$D$6:$N$219,X$4,FALSE),0)</f>
        <v>21</v>
      </c>
      <c r="Y46" s="22">
        <f ca="1">L46+ IFERROR(VLOOKUP($D46,[1]ClassGrupFases!$D$6:$N$111,Y$4,FALSE),0)+IFERROR(VLOOKUP($D46,[2]ClassGrupFases!$D$6:$N$219,Y$4,FALSE),0)</f>
        <v>45</v>
      </c>
      <c r="Z46" s="23">
        <f t="shared" ca="1" si="62"/>
        <v>-24</v>
      </c>
      <c r="AA46" s="23">
        <f t="shared" ca="1" si="63"/>
        <v>29.315398317777781</v>
      </c>
    </row>
    <row r="47" spans="1:27" x14ac:dyDescent="0.15">
      <c r="A47" s="23" t="str">
        <f t="shared" ca="1" si="52"/>
        <v>1E</v>
      </c>
      <c r="B47" s="23" t="s">
        <v>17</v>
      </c>
      <c r="C47" s="23">
        <f t="shared" ca="1" si="53"/>
        <v>1</v>
      </c>
      <c r="D47" s="24" t="str">
        <f>VLOOKUP($O47, Equipes!$A$3:$B$44, 2, FALSE)</f>
        <v>Eduardo Rocha RJ</v>
      </c>
      <c r="E47" s="31">
        <f t="shared" si="54"/>
        <v>0.83333333333333337</v>
      </c>
      <c r="F47" s="23">
        <f t="shared" si="55"/>
        <v>15</v>
      </c>
      <c r="G47" s="23">
        <f>COUNTIF(Jogos!$M$1:$N$136, $D47)</f>
        <v>6</v>
      </c>
      <c r="H47" s="23">
        <f>COUNTIF(Jogos!$O$1:$O$136, $D47)</f>
        <v>5</v>
      </c>
      <c r="I47" s="23">
        <f>COUNTIF(Jogos!$P$1:$Q$136, $D47)</f>
        <v>0</v>
      </c>
      <c r="J47" s="23">
        <f>COUNTIF(Jogos!$R$1:$R$136, $D47)</f>
        <v>1</v>
      </c>
      <c r="K47" s="23">
        <f ca="1">SUMIF(Jogos!$S$1:$T$136, $D47, Jogos!$T$1:$T$136)+SUMIF(Jogos!$U$1:$V$136, $D47, Jogos!$V$1:$V$136)</f>
        <v>14</v>
      </c>
      <c r="L47" s="23">
        <f ca="1">SUMIF(Jogos!$S$1:$V$136, $D47, Jogos!$V$1:$V$136)+SUMIF(Jogos!$U$1:$W$136, $D47, Jogos!$W$1:$W$136)</f>
        <v>6</v>
      </c>
      <c r="M47" s="23">
        <f t="shared" ca="1" si="56"/>
        <v>8</v>
      </c>
      <c r="N47" s="23">
        <f t="shared" ca="1" si="57"/>
        <v>84.884146863333342</v>
      </c>
      <c r="O47" s="25">
        <v>34</v>
      </c>
      <c r="P47" s="25">
        <f t="shared" ca="1" si="58"/>
        <v>84.884147333333345</v>
      </c>
      <c r="Q47" s="25">
        <f t="shared" ca="1" si="59"/>
        <v>1</v>
      </c>
      <c r="R47" s="31">
        <f t="shared" si="60"/>
        <v>0.64814814814814814</v>
      </c>
      <c r="S47" s="23">
        <f t="shared" si="61"/>
        <v>35</v>
      </c>
      <c r="T47" s="22">
        <f>G47+ IFERROR(VLOOKUP($D47,[1]ClassGrupFases!$D$6:$N$111,T$4,FALSE),0)+IFERROR(VLOOKUP($D47,[2]ClassGrupFases!$D$6:$N$219,T$4,FALSE),0)</f>
        <v>18</v>
      </c>
      <c r="U47" s="22">
        <f>H47+ IFERROR(VLOOKUP($D47,[1]ClassGrupFases!$D$6:$N$111,U$4,FALSE),0)+IFERROR(VLOOKUP($D47,[2]ClassGrupFases!$D$6:$N$219,U$4,FALSE),0)</f>
        <v>10</v>
      </c>
      <c r="V47" s="22">
        <f>I47+ IFERROR(VLOOKUP($D47,[1]ClassGrupFases!$D$6:$N$111,V$4,FALSE),0)+IFERROR(VLOOKUP($D47,[2]ClassGrupFases!$D$6:$N$219,V$4,FALSE),0)</f>
        <v>5</v>
      </c>
      <c r="W47" s="22">
        <f>J47+ IFERROR(VLOOKUP($D47,[1]ClassGrupFases!$D$6:$N$111,W$4,FALSE),0)+IFERROR(VLOOKUP($D47,[2]ClassGrupFases!$D$6:$N$219,W$4,FALSE),0)</f>
        <v>3</v>
      </c>
      <c r="X47" s="22">
        <f ca="1">K47+ IFERROR(VLOOKUP($D47,[1]ClassGrupFases!$D$6:$N$111,X$4,FALSE),0)+IFERROR(VLOOKUP($D47,[2]ClassGrupFases!$D$6:$N$219,X$4,FALSE),0)</f>
        <v>43</v>
      </c>
      <c r="Y47" s="22">
        <f ca="1">L47+ IFERROR(VLOOKUP($D47,[1]ClassGrupFases!$D$6:$N$111,Y$4,FALSE),0)+IFERROR(VLOOKUP($D47,[2]ClassGrupFases!$D$6:$N$219,Y$4,FALSE),0)</f>
        <v>31</v>
      </c>
      <c r="Z47" s="23">
        <f t="shared" ca="1" si="62"/>
        <v>12</v>
      </c>
      <c r="AA47" s="23">
        <f t="shared" ca="1" si="63"/>
        <v>68.416057344814803</v>
      </c>
    </row>
    <row r="48" spans="1:27" x14ac:dyDescent="0.15">
      <c r="A48" s="23" t="str">
        <f t="shared" ca="1" si="52"/>
        <v>6E</v>
      </c>
      <c r="B48" s="23" t="s">
        <v>17</v>
      </c>
      <c r="C48" s="23">
        <f t="shared" ca="1" si="53"/>
        <v>6</v>
      </c>
      <c r="D48" s="24" t="str">
        <f>VLOOKUP($O48, Equipes!$A$3:$B$44, 2, FALSE)</f>
        <v>Curvelo RJ</v>
      </c>
      <c r="E48" s="31">
        <f t="shared" si="54"/>
        <v>0.16666666666666666</v>
      </c>
      <c r="F48" s="23">
        <f t="shared" si="55"/>
        <v>3</v>
      </c>
      <c r="G48" s="23">
        <f>COUNTIF(Jogos!$M$1:$N$136, $D48)</f>
        <v>6</v>
      </c>
      <c r="H48" s="23">
        <f>COUNTIF(Jogos!$O$1:$O$136, $D48)</f>
        <v>1</v>
      </c>
      <c r="I48" s="23">
        <f>COUNTIF(Jogos!$P$1:$Q$136, $D48)</f>
        <v>0</v>
      </c>
      <c r="J48" s="23">
        <f>COUNTIF(Jogos!$R$1:$R$136, $D48)</f>
        <v>5</v>
      </c>
      <c r="K48" s="23">
        <f ca="1">SUMIF(Jogos!$S$1:$T$136, $D48, Jogos!$T$1:$T$136)+SUMIF(Jogos!$U$1:$V$136, $D48, Jogos!$V$1:$V$136)</f>
        <v>6</v>
      </c>
      <c r="L48" s="23">
        <f ca="1">SUMIF(Jogos!$S$1:$V$136, $D48, Jogos!$V$1:$V$136)+SUMIF(Jogos!$U$1:$W$136, $D48, Jogos!$W$1:$W$136)</f>
        <v>14</v>
      </c>
      <c r="M48" s="23">
        <f t="shared" ca="1" si="56"/>
        <v>-8</v>
      </c>
      <c r="N48" s="23">
        <f t="shared" ca="1" si="57"/>
        <v>16.975872186666663</v>
      </c>
      <c r="O48" s="25">
        <v>35</v>
      </c>
      <c r="P48" s="25">
        <f t="shared" ca="1" si="58"/>
        <v>16.975872666666664</v>
      </c>
      <c r="Q48" s="25">
        <f t="shared" ca="1" si="59"/>
        <v>6</v>
      </c>
      <c r="R48" s="31">
        <f t="shared" si="60"/>
        <v>0.25925925925925924</v>
      </c>
      <c r="S48" s="23">
        <f t="shared" si="61"/>
        <v>14</v>
      </c>
      <c r="T48" s="22">
        <f>G48+ IFERROR(VLOOKUP($D48,[1]ClassGrupFases!$D$6:$N$111,T$4,FALSE),0)+IFERROR(VLOOKUP($D48,[2]ClassGrupFases!$D$6:$N$219,T$4,FALSE),0)</f>
        <v>18</v>
      </c>
      <c r="U48" s="22">
        <f>H48+ IFERROR(VLOOKUP($D48,[1]ClassGrupFases!$D$6:$N$111,U$4,FALSE),0)+IFERROR(VLOOKUP($D48,[2]ClassGrupFases!$D$6:$N$219,U$4,FALSE),0)</f>
        <v>4</v>
      </c>
      <c r="V48" s="22">
        <f>I48+ IFERROR(VLOOKUP($D48,[1]ClassGrupFases!$D$6:$N$111,V$4,FALSE),0)+IFERROR(VLOOKUP($D48,[2]ClassGrupFases!$D$6:$N$219,V$4,FALSE),0)</f>
        <v>2</v>
      </c>
      <c r="W48" s="22">
        <f>J48+ IFERROR(VLOOKUP($D48,[1]ClassGrupFases!$D$6:$N$111,W$4,FALSE),0)+IFERROR(VLOOKUP($D48,[2]ClassGrupFases!$D$6:$N$219,W$4,FALSE),0)</f>
        <v>12</v>
      </c>
      <c r="X48" s="22">
        <f ca="1">K48+ IFERROR(VLOOKUP($D48,[1]ClassGrupFases!$D$6:$N$111,X$4,FALSE),0)+IFERROR(VLOOKUP($D48,[2]ClassGrupFases!$D$6:$N$219,X$4,FALSE),0)</f>
        <v>14</v>
      </c>
      <c r="Y48" s="22">
        <f ca="1">L48+ IFERROR(VLOOKUP($D48,[1]ClassGrupFases!$D$6:$N$111,Y$4,FALSE),0)+IFERROR(VLOOKUP($D48,[2]ClassGrupFases!$D$6:$N$219,Y$4,FALSE),0)</f>
        <v>35</v>
      </c>
      <c r="Z48" s="23">
        <f t="shared" ca="1" si="62"/>
        <v>-21</v>
      </c>
      <c r="AA48" s="23">
        <f t="shared" ca="1" si="63"/>
        <v>27.363839445925926</v>
      </c>
    </row>
    <row r="50" spans="1:27" ht="25.5" x14ac:dyDescent="0.5">
      <c r="A50" s="23" t="s">
        <v>36</v>
      </c>
      <c r="B50" s="23" t="s">
        <v>27</v>
      </c>
      <c r="C50" s="27" t="s">
        <v>27</v>
      </c>
      <c r="D50" s="28" t="s">
        <v>37</v>
      </c>
      <c r="E50" s="30" t="s">
        <v>38</v>
      </c>
      <c r="F50" s="30" t="s">
        <v>39</v>
      </c>
      <c r="G50" s="30" t="s">
        <v>15</v>
      </c>
      <c r="H50" s="30" t="s">
        <v>16</v>
      </c>
      <c r="I50" s="30" t="s">
        <v>17</v>
      </c>
      <c r="J50" s="30" t="s">
        <v>18</v>
      </c>
      <c r="K50" s="30" t="s">
        <v>40</v>
      </c>
      <c r="L50" s="30" t="s">
        <v>41</v>
      </c>
      <c r="M50" s="30" t="s">
        <v>42</v>
      </c>
      <c r="N50" s="29" t="s">
        <v>43</v>
      </c>
      <c r="R50" s="30" t="s">
        <v>38</v>
      </c>
      <c r="S50" s="30" t="s">
        <v>39</v>
      </c>
      <c r="T50" s="30" t="s">
        <v>15</v>
      </c>
      <c r="U50" s="30" t="s">
        <v>16</v>
      </c>
      <c r="V50" s="30" t="s">
        <v>17</v>
      </c>
      <c r="W50" s="30" t="s">
        <v>18</v>
      </c>
      <c r="X50" s="30" t="s">
        <v>40</v>
      </c>
      <c r="Y50" s="30" t="s">
        <v>41</v>
      </c>
      <c r="Z50" s="30" t="s">
        <v>42</v>
      </c>
      <c r="AA50" s="29" t="s">
        <v>43</v>
      </c>
    </row>
    <row r="51" spans="1:27" x14ac:dyDescent="0.15">
      <c r="A51" s="23" t="str">
        <f t="shared" ref="A51:A57" ca="1" si="64">CONCATENATE(C51,B51)</f>
        <v>2F</v>
      </c>
      <c r="B51" s="23" t="s">
        <v>27</v>
      </c>
      <c r="C51" s="23">
        <f t="shared" ref="C51:C57" ca="1" si="65">IF(SUM($G$51:$G$57)=0,0,_xlfn.RANK.EQ(N51,$N$51:$N$57))</f>
        <v>2</v>
      </c>
      <c r="D51" s="24" t="str">
        <f>VLOOKUP($O51, Equipes!$A$3:$B$44, 2, FALSE)</f>
        <v>Willow SP</v>
      </c>
      <c r="E51" s="31">
        <f t="shared" ref="E51:E57" si="66">IF(G51=0,0,(F51)/(G51*3))</f>
        <v>0.72222222222222221</v>
      </c>
      <c r="F51" s="23">
        <f t="shared" ref="F51:F57" si="67">(H51*3)+(I51*1)</f>
        <v>13</v>
      </c>
      <c r="G51" s="23">
        <f>COUNTIF(Jogos!$M$1:$N$136, $D51)</f>
        <v>6</v>
      </c>
      <c r="H51" s="23">
        <f>COUNTIF(Jogos!$O$1:$O$136, $D51)</f>
        <v>4</v>
      </c>
      <c r="I51" s="23">
        <f>COUNTIF(Jogos!$P$1:$Q$136, $D51)</f>
        <v>1</v>
      </c>
      <c r="J51" s="23">
        <f>COUNTIF(Jogos!$R$1:$R$136, $D51)</f>
        <v>1</v>
      </c>
      <c r="K51" s="23">
        <f ca="1">SUMIF(Jogos!$S$1:$T$136, $D51, Jogos!$T$1:$T$136)+SUMIF(Jogos!$U$1:$V$136, $D51, Jogos!$V$1:$V$136)</f>
        <v>18</v>
      </c>
      <c r="L51" s="23">
        <f ca="1">SUMIF(Jogos!$S$1:$V$136, $D51, Jogos!$V$1:$V$136)+SUMIF(Jogos!$U$1:$W$136, $D51, Jogos!$W$1:$W$136)</f>
        <v>11</v>
      </c>
      <c r="M51" s="23">
        <f t="shared" ref="M51:M57" ca="1" si="68">K51-L51</f>
        <v>7</v>
      </c>
      <c r="N51" s="23">
        <f t="shared" ref="N51:N57" ca="1" si="69">(E51*E$3+F51*F$3+H51*H$3+M51*M$3+K51*K$3)/(E$3/100)-ROW(N51)/E$3</f>
        <v>73.562939712222217</v>
      </c>
      <c r="O51" s="25">
        <v>36</v>
      </c>
      <c r="P51" s="25">
        <f t="shared" ref="P51:P57" ca="1" si="70">(E51*E$3+F51*F$3+H51*H$3+M51*M$3+K51*K$3)/(E$3/100)</f>
        <v>73.562940222222224</v>
      </c>
      <c r="Q51" s="25">
        <f t="shared" ref="Q51:Q57" ca="1" si="71">IF(SUM($G$51:$G$57)=0,0,_xlfn.RANK.EQ(P51,$P$51:$P$57))</f>
        <v>2</v>
      </c>
      <c r="R51" s="31">
        <f t="shared" ref="R51:R57" si="72">IF(T51=0,0,(S51)/(T51*3))</f>
        <v>0.64814814814814814</v>
      </c>
      <c r="S51" s="23">
        <f t="shared" ref="S51:S57" si="73">(U51*3)+(V51*1)</f>
        <v>35</v>
      </c>
      <c r="T51" s="22">
        <f>G51+ IFERROR(VLOOKUP($D51,[1]ClassGrupFases!$D$6:$N$111,T$4,FALSE),0)+IFERROR(VLOOKUP($D51,[2]ClassGrupFases!$D$6:$N$219,T$4,FALSE),0)</f>
        <v>18</v>
      </c>
      <c r="U51" s="22">
        <f>H51+ IFERROR(VLOOKUP($D51,[1]ClassGrupFases!$D$6:$N$111,U$4,FALSE),0)+IFERROR(VLOOKUP($D51,[2]ClassGrupFases!$D$6:$N$219,U$4,FALSE),0)</f>
        <v>10</v>
      </c>
      <c r="V51" s="22">
        <f>I51+ IFERROR(VLOOKUP($D51,[1]ClassGrupFases!$D$6:$N$111,V$4,FALSE),0)+IFERROR(VLOOKUP($D51,[2]ClassGrupFases!$D$6:$N$219,V$4,FALSE),0)</f>
        <v>5</v>
      </c>
      <c r="W51" s="22">
        <f>J51+ IFERROR(VLOOKUP($D51,[1]ClassGrupFases!$D$6:$N$111,W$4,FALSE),0)+IFERROR(VLOOKUP($D51,[2]ClassGrupFases!$D$6:$N$219,W$4,FALSE),0)</f>
        <v>3</v>
      </c>
      <c r="X51" s="22">
        <f ca="1">K51+ IFERROR(VLOOKUP($D51,[1]ClassGrupFases!$D$6:$N$111,X$4,FALSE),0)+IFERROR(VLOOKUP($D51,[2]ClassGrupFases!$D$6:$N$219,X$4,FALSE),0)</f>
        <v>41</v>
      </c>
      <c r="Y51" s="22">
        <f ca="1">L51+ IFERROR(VLOOKUP($D51,[1]ClassGrupFases!$D$6:$N$111,Y$4,FALSE),0)+IFERROR(VLOOKUP($D51,[2]ClassGrupFases!$D$6:$N$219,Y$4,FALSE),0)</f>
        <v>28</v>
      </c>
      <c r="Z51" s="23">
        <f t="shared" ref="Z51:Z57" ca="1" si="74">X51-Y51</f>
        <v>13</v>
      </c>
      <c r="AA51" s="23">
        <f t="shared" ref="AA51:AA57" ca="1" si="75">(R51*R$3+S51*S$3+U51*U$3+Z51*Z$3+X51*X$3)/(R$3/100)-ROW(AA51)/R$3</f>
        <v>68.416155304814794</v>
      </c>
    </row>
    <row r="52" spans="1:27" x14ac:dyDescent="0.15">
      <c r="A52" s="23" t="str">
        <f t="shared" ca="1" si="64"/>
        <v>3F</v>
      </c>
      <c r="B52" s="23" t="s">
        <v>27</v>
      </c>
      <c r="C52" s="23">
        <f t="shared" ca="1" si="65"/>
        <v>3</v>
      </c>
      <c r="D52" s="24" t="str">
        <f>VLOOKUP($O52, Equipes!$A$3:$B$44, 2, FALSE)</f>
        <v>Elsio SP</v>
      </c>
      <c r="E52" s="31">
        <f t="shared" si="66"/>
        <v>0.61111111111111116</v>
      </c>
      <c r="F52" s="23">
        <f t="shared" si="67"/>
        <v>11</v>
      </c>
      <c r="G52" s="23">
        <f>COUNTIF(Jogos!$M$1:$N$136, $D52)</f>
        <v>6</v>
      </c>
      <c r="H52" s="23">
        <f>COUNTIF(Jogos!$O$1:$O$136, $D52)</f>
        <v>3</v>
      </c>
      <c r="I52" s="23">
        <f>COUNTIF(Jogos!$P$1:$Q$136, $D52)</f>
        <v>2</v>
      </c>
      <c r="J52" s="23">
        <f>COUNTIF(Jogos!$R$1:$R$136, $D52)</f>
        <v>1</v>
      </c>
      <c r="K52" s="23">
        <f ca="1">SUMIF(Jogos!$S$1:$T$136, $D52, Jogos!$T$1:$T$136)+SUMIF(Jogos!$U$1:$V$136, $D52, Jogos!$V$1:$V$136)</f>
        <v>15</v>
      </c>
      <c r="L52" s="23">
        <f ca="1">SUMIF(Jogos!$S$1:$V$136, $D52, Jogos!$V$1:$V$136)+SUMIF(Jogos!$U$1:$W$136, $D52, Jogos!$W$1:$W$136)</f>
        <v>13</v>
      </c>
      <c r="M52" s="23">
        <f t="shared" ca="1" si="68"/>
        <v>2</v>
      </c>
      <c r="N52" s="23">
        <f t="shared" ca="1" si="69"/>
        <v>62.241325591111121</v>
      </c>
      <c r="O52" s="25">
        <v>37</v>
      </c>
      <c r="P52" s="25">
        <f t="shared" ca="1" si="70"/>
        <v>62.241326111111121</v>
      </c>
      <c r="Q52" s="25">
        <f t="shared" ca="1" si="71"/>
        <v>3</v>
      </c>
      <c r="R52" s="31">
        <f t="shared" si="72"/>
        <v>0.61111111111111116</v>
      </c>
      <c r="S52" s="23">
        <f t="shared" si="73"/>
        <v>33</v>
      </c>
      <c r="T52" s="22">
        <f>G52+ IFERROR(VLOOKUP($D52,[1]ClassGrupFases!$D$6:$N$111,T$4,FALSE),0)+IFERROR(VLOOKUP($D52,[2]ClassGrupFases!$D$6:$N$219,T$4,FALSE),0)</f>
        <v>18</v>
      </c>
      <c r="U52" s="22">
        <f>H52+ IFERROR(VLOOKUP($D52,[1]ClassGrupFases!$D$6:$N$111,U$4,FALSE),0)+IFERROR(VLOOKUP($D52,[2]ClassGrupFases!$D$6:$N$219,U$4,FALSE),0)</f>
        <v>10</v>
      </c>
      <c r="V52" s="22">
        <f>I52+ IFERROR(VLOOKUP($D52,[1]ClassGrupFases!$D$6:$N$111,V$4,FALSE),0)+IFERROR(VLOOKUP($D52,[2]ClassGrupFases!$D$6:$N$219,V$4,FALSE),0)</f>
        <v>3</v>
      </c>
      <c r="W52" s="22">
        <f>J52+ IFERROR(VLOOKUP($D52,[1]ClassGrupFases!$D$6:$N$111,W$4,FALSE),0)+IFERROR(VLOOKUP($D52,[2]ClassGrupFases!$D$6:$N$219,W$4,FALSE),0)</f>
        <v>5</v>
      </c>
      <c r="X52" s="22">
        <f ca="1">K52+ IFERROR(VLOOKUP($D52,[1]ClassGrupFases!$D$6:$N$111,X$4,FALSE),0)+IFERROR(VLOOKUP($D52,[2]ClassGrupFases!$D$6:$N$219,X$4,FALSE),0)</f>
        <v>41</v>
      </c>
      <c r="Y52" s="22">
        <f ca="1">L52+ IFERROR(VLOOKUP($D52,[1]ClassGrupFases!$D$6:$N$111,Y$4,FALSE),0)+IFERROR(VLOOKUP($D52,[2]ClassGrupFases!$D$6:$N$219,Y$4,FALSE),0)</f>
        <v>29</v>
      </c>
      <c r="Z52" s="23">
        <f t="shared" ca="1" si="74"/>
        <v>12</v>
      </c>
      <c r="AA52" s="23">
        <f t="shared" ca="1" si="75"/>
        <v>64.512351591111113</v>
      </c>
    </row>
    <row r="53" spans="1:27" x14ac:dyDescent="0.15">
      <c r="A53" s="23" t="str">
        <f t="shared" ca="1" si="64"/>
        <v>7F</v>
      </c>
      <c r="B53" s="23" t="s">
        <v>27</v>
      </c>
      <c r="C53" s="23">
        <f t="shared" ca="1" si="65"/>
        <v>7</v>
      </c>
      <c r="D53" s="24" t="str">
        <f>VLOOKUP($O53, Equipes!$A$3:$B$44, 2, FALSE)</f>
        <v>João Marcelo MG</v>
      </c>
      <c r="E53" s="31">
        <f t="shared" si="66"/>
        <v>0.16666666666666666</v>
      </c>
      <c r="F53" s="23">
        <f t="shared" si="67"/>
        <v>3</v>
      </c>
      <c r="G53" s="23">
        <f>COUNTIF(Jogos!$M$1:$N$136, $D53)</f>
        <v>6</v>
      </c>
      <c r="H53" s="23">
        <f>COUNTIF(Jogos!$O$1:$O$136, $D53)</f>
        <v>1</v>
      </c>
      <c r="I53" s="23">
        <f>COUNTIF(Jogos!$P$1:$Q$136, $D53)</f>
        <v>0</v>
      </c>
      <c r="J53" s="23">
        <f>COUNTIF(Jogos!$R$1:$R$136, $D53)</f>
        <v>5</v>
      </c>
      <c r="K53" s="23">
        <f ca="1">SUMIF(Jogos!$S$1:$T$136, $D53, Jogos!$T$1:$T$136)+SUMIF(Jogos!$U$1:$V$136, $D53, Jogos!$V$1:$V$136)</f>
        <v>10</v>
      </c>
      <c r="L53" s="23">
        <f ca="1">SUMIF(Jogos!$S$1:$V$136, $D53, Jogos!$V$1:$V$136)+SUMIF(Jogos!$U$1:$W$136, $D53, Jogos!$W$1:$W$136)</f>
        <v>19</v>
      </c>
      <c r="M53" s="23">
        <f t="shared" ca="1" si="68"/>
        <v>-9</v>
      </c>
      <c r="N53" s="23">
        <f t="shared" ca="1" si="69"/>
        <v>16.975776136666664</v>
      </c>
      <c r="O53" s="25">
        <v>38</v>
      </c>
      <c r="P53" s="25">
        <f t="shared" ca="1" si="70"/>
        <v>16.975776666666665</v>
      </c>
      <c r="Q53" s="25">
        <f t="shared" ca="1" si="71"/>
        <v>7</v>
      </c>
      <c r="R53" s="31">
        <f t="shared" si="72"/>
        <v>0.31481481481481483</v>
      </c>
      <c r="S53" s="23">
        <f t="shared" si="73"/>
        <v>17</v>
      </c>
      <c r="T53" s="22">
        <f>G53+ IFERROR(VLOOKUP($D53,[1]ClassGrupFases!$D$6:$N$111,T$4,FALSE),0)+IFERROR(VLOOKUP($D53,[2]ClassGrupFases!$D$6:$N$219,T$4,FALSE),0)</f>
        <v>18</v>
      </c>
      <c r="U53" s="22">
        <f>H53+ IFERROR(VLOOKUP($D53,[1]ClassGrupFases!$D$6:$N$111,U$4,FALSE),0)+IFERROR(VLOOKUP($D53,[2]ClassGrupFases!$D$6:$N$219,U$4,FALSE),0)</f>
        <v>4</v>
      </c>
      <c r="V53" s="22">
        <f>I53+ IFERROR(VLOOKUP($D53,[1]ClassGrupFases!$D$6:$N$111,V$4,FALSE),0)+IFERROR(VLOOKUP($D53,[2]ClassGrupFases!$D$6:$N$219,V$4,FALSE),0)</f>
        <v>5</v>
      </c>
      <c r="W53" s="22">
        <f>J53+ IFERROR(VLOOKUP($D53,[1]ClassGrupFases!$D$6:$N$111,W$4,FALSE),0)+IFERROR(VLOOKUP($D53,[2]ClassGrupFases!$D$6:$N$219,W$4,FALSE),0)</f>
        <v>9</v>
      </c>
      <c r="X53" s="22">
        <f ca="1">K53+ IFERROR(VLOOKUP($D53,[1]ClassGrupFases!$D$6:$N$111,X$4,FALSE),0)+IFERROR(VLOOKUP($D53,[2]ClassGrupFases!$D$6:$N$219,X$4,FALSE),0)</f>
        <v>31</v>
      </c>
      <c r="Y53" s="22">
        <f ca="1">L53+ IFERROR(VLOOKUP($D53,[1]ClassGrupFases!$D$6:$N$111,Y$4,FALSE),0)+IFERROR(VLOOKUP($D53,[2]ClassGrupFases!$D$6:$N$219,Y$4,FALSE),0)</f>
        <v>43</v>
      </c>
      <c r="Z53" s="23">
        <f t="shared" ca="1" si="74"/>
        <v>-12</v>
      </c>
      <c r="AA53" s="23">
        <f t="shared" ca="1" si="75"/>
        <v>33.220311951481477</v>
      </c>
    </row>
    <row r="54" spans="1:27" x14ac:dyDescent="0.15">
      <c r="A54" s="23" t="str">
        <f t="shared" ca="1" si="64"/>
        <v>4F</v>
      </c>
      <c r="B54" s="23" t="s">
        <v>27</v>
      </c>
      <c r="C54" s="23">
        <f t="shared" ca="1" si="65"/>
        <v>4</v>
      </c>
      <c r="D54" s="24" t="str">
        <f>VLOOKUP($O54, Equipes!$A$3:$B$44, 2, FALSE)</f>
        <v>Vitor Luiz</v>
      </c>
      <c r="E54" s="31">
        <f t="shared" si="66"/>
        <v>0.3888888888888889</v>
      </c>
      <c r="F54" s="23">
        <f t="shared" si="67"/>
        <v>7</v>
      </c>
      <c r="G54" s="23">
        <f>COUNTIF(Jogos!$M$1:$N$136, $D54)</f>
        <v>6</v>
      </c>
      <c r="H54" s="23">
        <f>COUNTIF(Jogos!$O$1:$O$136, $D54)</f>
        <v>2</v>
      </c>
      <c r="I54" s="23">
        <f>COUNTIF(Jogos!$P$1:$Q$136, $D54)</f>
        <v>1</v>
      </c>
      <c r="J54" s="23">
        <f>COUNTIF(Jogos!$R$1:$R$136, $D54)</f>
        <v>3</v>
      </c>
      <c r="K54" s="23">
        <f ca="1">SUMIF(Jogos!$S$1:$T$136, $D54, Jogos!$T$1:$T$136)+SUMIF(Jogos!$U$1:$V$136, $D54, Jogos!$V$1:$V$136)</f>
        <v>9</v>
      </c>
      <c r="L54" s="23">
        <f ca="1">SUMIF(Jogos!$S$1:$V$136, $D54, Jogos!$V$1:$V$136)+SUMIF(Jogos!$U$1:$W$136, $D54, Jogos!$W$1:$W$136)</f>
        <v>13</v>
      </c>
      <c r="M54" s="23">
        <f t="shared" ca="1" si="68"/>
        <v>-4</v>
      </c>
      <c r="N54" s="23">
        <f t="shared" ca="1" si="69"/>
        <v>39.608497348888889</v>
      </c>
      <c r="O54" s="25">
        <v>39</v>
      </c>
      <c r="P54" s="25">
        <f t="shared" ca="1" si="70"/>
        <v>39.608497888888891</v>
      </c>
      <c r="Q54" s="25">
        <f t="shared" ca="1" si="71"/>
        <v>4</v>
      </c>
      <c r="R54" s="31">
        <f t="shared" si="72"/>
        <v>0.40740740740740738</v>
      </c>
      <c r="S54" s="23">
        <f t="shared" si="73"/>
        <v>22</v>
      </c>
      <c r="T54" s="22">
        <f>G54+ IFERROR(VLOOKUP($D54,[1]ClassGrupFases!$D$6:$N$111,T$4,FALSE),0)+IFERROR(VLOOKUP($D54,[2]ClassGrupFases!$D$6:$N$219,T$4,FALSE),0)</f>
        <v>18</v>
      </c>
      <c r="U54" s="22">
        <f>H54+ IFERROR(VLOOKUP($D54,[1]ClassGrupFases!$D$6:$N$111,U$4,FALSE),0)+IFERROR(VLOOKUP($D54,[2]ClassGrupFases!$D$6:$N$219,U$4,FALSE),0)</f>
        <v>6</v>
      </c>
      <c r="V54" s="22">
        <f>I54+ IFERROR(VLOOKUP($D54,[1]ClassGrupFases!$D$6:$N$111,V$4,FALSE),0)+IFERROR(VLOOKUP($D54,[2]ClassGrupFases!$D$6:$N$219,V$4,FALSE),0)</f>
        <v>4</v>
      </c>
      <c r="W54" s="22">
        <f>J54+ IFERROR(VLOOKUP($D54,[1]ClassGrupFases!$D$6:$N$111,W$4,FALSE),0)+IFERROR(VLOOKUP($D54,[2]ClassGrupFases!$D$6:$N$219,W$4,FALSE),0)</f>
        <v>8</v>
      </c>
      <c r="X54" s="22">
        <f ca="1">K54+ IFERROR(VLOOKUP($D54,[1]ClassGrupFases!$D$6:$N$111,X$4,FALSE),0)+IFERROR(VLOOKUP($D54,[2]ClassGrupFases!$D$6:$N$219,X$4,FALSE),0)</f>
        <v>29</v>
      </c>
      <c r="Y54" s="22">
        <f ca="1">L54+ IFERROR(VLOOKUP($D54,[1]ClassGrupFases!$D$6:$N$111,Y$4,FALSE),0)+IFERROR(VLOOKUP($D54,[2]ClassGrupFases!$D$6:$N$219,Y$4,FALSE),0)</f>
        <v>35</v>
      </c>
      <c r="Z54" s="23">
        <f t="shared" ca="1" si="74"/>
        <v>-6</v>
      </c>
      <c r="AA54" s="23">
        <f t="shared" ca="1" si="75"/>
        <v>43.000169200740736</v>
      </c>
    </row>
    <row r="55" spans="1:27" x14ac:dyDescent="0.15">
      <c r="A55" s="23" t="str">
        <f t="shared" ca="1" si="64"/>
        <v>5F</v>
      </c>
      <c r="B55" s="23" t="s">
        <v>27</v>
      </c>
      <c r="C55" s="23">
        <f t="shared" ca="1" si="65"/>
        <v>5</v>
      </c>
      <c r="D55" s="24" t="str">
        <f>VLOOKUP($O55, Equipes!$A$3:$B$44, 2, FALSE)</f>
        <v>Marcelo Aranha SP</v>
      </c>
      <c r="E55" s="31">
        <f t="shared" si="66"/>
        <v>0.33333333333333331</v>
      </c>
      <c r="F55" s="23">
        <f t="shared" si="67"/>
        <v>6</v>
      </c>
      <c r="G55" s="23">
        <f>COUNTIF(Jogos!$M$1:$N$136, $D55)</f>
        <v>6</v>
      </c>
      <c r="H55" s="23">
        <f>COUNTIF(Jogos!$O$1:$O$136, $D55)</f>
        <v>2</v>
      </c>
      <c r="I55" s="23">
        <f>COUNTIF(Jogos!$P$1:$Q$136, $D55)</f>
        <v>0</v>
      </c>
      <c r="J55" s="23">
        <f>COUNTIF(Jogos!$R$1:$R$136, $D55)</f>
        <v>4</v>
      </c>
      <c r="K55" s="23">
        <f ca="1">SUMIF(Jogos!$S$1:$T$136, $D55, Jogos!$T$1:$T$136)+SUMIF(Jogos!$U$1:$V$136, $D55, Jogos!$V$1:$V$136)</f>
        <v>7</v>
      </c>
      <c r="L55" s="23">
        <f ca="1">SUMIF(Jogos!$S$1:$V$136, $D55, Jogos!$V$1:$V$136)+SUMIF(Jogos!$U$1:$W$136, $D55, Jogos!$W$1:$W$136)</f>
        <v>11</v>
      </c>
      <c r="M55" s="23">
        <f t="shared" ca="1" si="68"/>
        <v>-4</v>
      </c>
      <c r="N55" s="23">
        <f t="shared" ca="1" si="69"/>
        <v>33.952939783333328</v>
      </c>
      <c r="O55" s="25">
        <v>40</v>
      </c>
      <c r="P55" s="25">
        <f t="shared" ca="1" si="70"/>
        <v>33.952940333333331</v>
      </c>
      <c r="Q55" s="25">
        <f t="shared" ca="1" si="71"/>
        <v>5</v>
      </c>
      <c r="R55" s="31">
        <f t="shared" si="72"/>
        <v>0.37037037037037035</v>
      </c>
      <c r="S55" s="23">
        <f t="shared" si="73"/>
        <v>20</v>
      </c>
      <c r="T55" s="22">
        <f>G55+ IFERROR(VLOOKUP($D55,[1]ClassGrupFases!$D$6:$N$111,T$4,FALSE),0)+IFERROR(VLOOKUP($D55,[2]ClassGrupFases!$D$6:$N$219,T$4,FALSE),0)</f>
        <v>18</v>
      </c>
      <c r="U55" s="22">
        <f>H55+ IFERROR(VLOOKUP($D55,[1]ClassGrupFases!$D$6:$N$111,U$4,FALSE),0)+IFERROR(VLOOKUP($D55,[2]ClassGrupFases!$D$6:$N$219,U$4,FALSE),0)</f>
        <v>6</v>
      </c>
      <c r="V55" s="22">
        <f>I55+ IFERROR(VLOOKUP($D55,[1]ClassGrupFases!$D$6:$N$111,V$4,FALSE),0)+IFERROR(VLOOKUP($D55,[2]ClassGrupFases!$D$6:$N$219,V$4,FALSE),0)</f>
        <v>2</v>
      </c>
      <c r="W55" s="22">
        <f>J55+ IFERROR(VLOOKUP($D55,[1]ClassGrupFases!$D$6:$N$111,W$4,FALSE),0)+IFERROR(VLOOKUP($D55,[2]ClassGrupFases!$D$6:$N$219,W$4,FALSE),0)</f>
        <v>10</v>
      </c>
      <c r="X55" s="22">
        <f ca="1">K55+ IFERROR(VLOOKUP($D55,[1]ClassGrupFases!$D$6:$N$111,X$4,FALSE),0)+IFERROR(VLOOKUP($D55,[2]ClassGrupFases!$D$6:$N$219,X$4,FALSE),0)</f>
        <v>25</v>
      </c>
      <c r="Y55" s="22">
        <f ca="1">L55+ IFERROR(VLOOKUP($D55,[1]ClassGrupFases!$D$6:$N$111,Y$4,FALSE),0)+IFERROR(VLOOKUP($D55,[2]ClassGrupFases!$D$6:$N$219,Y$4,FALSE),0)</f>
        <v>39</v>
      </c>
      <c r="Z55" s="23">
        <f t="shared" ca="1" si="74"/>
        <v>-14</v>
      </c>
      <c r="AA55" s="23">
        <f t="shared" ca="1" si="75"/>
        <v>39.095661487037034</v>
      </c>
    </row>
    <row r="56" spans="1:27" x14ac:dyDescent="0.15">
      <c r="A56" s="23" t="str">
        <f t="shared" ca="1" si="64"/>
        <v>1F</v>
      </c>
      <c r="B56" s="23" t="s">
        <v>27</v>
      </c>
      <c r="C56" s="23">
        <f t="shared" ca="1" si="65"/>
        <v>1</v>
      </c>
      <c r="D56" s="24" t="str">
        <f>VLOOKUP($O56, Equipes!$A$3:$B$44, 2, FALSE)</f>
        <v>Tavares RJ</v>
      </c>
      <c r="E56" s="31">
        <f t="shared" si="66"/>
        <v>0.83333333333333337</v>
      </c>
      <c r="F56" s="23">
        <f t="shared" si="67"/>
        <v>15</v>
      </c>
      <c r="G56" s="23">
        <f>COUNTIF(Jogos!$M$1:$N$136, $D56)</f>
        <v>6</v>
      </c>
      <c r="H56" s="23">
        <f>COUNTIF(Jogos!$O$1:$O$136, $D56)</f>
        <v>5</v>
      </c>
      <c r="I56" s="23">
        <f>COUNTIF(Jogos!$P$1:$Q$136, $D56)</f>
        <v>0</v>
      </c>
      <c r="J56" s="23">
        <f>COUNTIF(Jogos!$R$1:$R$136, $D56)</f>
        <v>1</v>
      </c>
      <c r="K56" s="23">
        <f ca="1">SUMIF(Jogos!$S$1:$T$136, $D56, Jogos!$T$1:$T$136)+SUMIF(Jogos!$U$1:$V$136, $D56, Jogos!$V$1:$V$136)</f>
        <v>21</v>
      </c>
      <c r="L56" s="23">
        <f ca="1">SUMIF(Jogos!$S$1:$V$136, $D56, Jogos!$V$1:$V$136)+SUMIF(Jogos!$U$1:$W$136, $D56, Jogos!$W$1:$W$136)</f>
        <v>10</v>
      </c>
      <c r="M56" s="23">
        <f t="shared" ca="1" si="68"/>
        <v>11</v>
      </c>
      <c r="N56" s="23">
        <f t="shared" ca="1" si="69"/>
        <v>84.884453773333334</v>
      </c>
      <c r="O56" s="25">
        <v>41</v>
      </c>
      <c r="P56" s="25">
        <f t="shared" ca="1" si="70"/>
        <v>84.884454333333338</v>
      </c>
      <c r="Q56" s="25">
        <f t="shared" ca="1" si="71"/>
        <v>1</v>
      </c>
      <c r="R56" s="31">
        <f t="shared" si="72"/>
        <v>0.57407407407407407</v>
      </c>
      <c r="S56" s="23">
        <f t="shared" si="73"/>
        <v>31</v>
      </c>
      <c r="T56" s="22">
        <f>G56+ IFERROR(VLOOKUP($D56,[1]ClassGrupFases!$D$6:$N$111,T$4,FALSE),0)+IFERROR(VLOOKUP($D56,[2]ClassGrupFases!$D$6:$N$219,T$4,FALSE),0)</f>
        <v>18</v>
      </c>
      <c r="U56" s="22">
        <f>H56+ IFERROR(VLOOKUP($D56,[1]ClassGrupFases!$D$6:$N$111,U$4,FALSE),0)+IFERROR(VLOOKUP($D56,[2]ClassGrupFases!$D$6:$N$219,U$4,FALSE),0)</f>
        <v>9</v>
      </c>
      <c r="V56" s="22">
        <f>I56+ IFERROR(VLOOKUP($D56,[1]ClassGrupFases!$D$6:$N$111,V$4,FALSE),0)+IFERROR(VLOOKUP($D56,[2]ClassGrupFases!$D$6:$N$219,V$4,FALSE),0)</f>
        <v>4</v>
      </c>
      <c r="W56" s="22">
        <f>J56+ IFERROR(VLOOKUP($D56,[1]ClassGrupFases!$D$6:$N$111,W$4,FALSE),0)+IFERROR(VLOOKUP($D56,[2]ClassGrupFases!$D$6:$N$219,W$4,FALSE),0)</f>
        <v>5</v>
      </c>
      <c r="X56" s="22">
        <f ca="1">K56+ IFERROR(VLOOKUP($D56,[1]ClassGrupFases!$D$6:$N$111,X$4,FALSE),0)+IFERROR(VLOOKUP($D56,[2]ClassGrupFases!$D$6:$N$219,X$4,FALSE),0)</f>
        <v>38</v>
      </c>
      <c r="Y56" s="22">
        <f ca="1">L56+ IFERROR(VLOOKUP($D56,[1]ClassGrupFases!$D$6:$N$111,Y$4,FALSE),0)+IFERROR(VLOOKUP($D56,[2]ClassGrupFases!$D$6:$N$219,Y$4,FALSE),0)</f>
        <v>29</v>
      </c>
      <c r="Z56" s="23">
        <f t="shared" ca="1" si="74"/>
        <v>9</v>
      </c>
      <c r="AA56" s="23">
        <f t="shared" ca="1" si="75"/>
        <v>60.598344847407411</v>
      </c>
    </row>
    <row r="57" spans="1:27" x14ac:dyDescent="0.15">
      <c r="A57" s="23" t="str">
        <f t="shared" ca="1" si="64"/>
        <v>6F</v>
      </c>
      <c r="B57" s="23" t="s">
        <v>27</v>
      </c>
      <c r="C57" s="23">
        <f t="shared" ca="1" si="65"/>
        <v>6</v>
      </c>
      <c r="D57" s="24" t="str">
        <f>VLOOKUP($O57, Equipes!$A$3:$B$44, 2, FALSE)</f>
        <v>Bergamini SP</v>
      </c>
      <c r="E57" s="31">
        <f t="shared" si="66"/>
        <v>0.27777777777777779</v>
      </c>
      <c r="F57" s="23">
        <f t="shared" si="67"/>
        <v>5</v>
      </c>
      <c r="G57" s="23">
        <f>COUNTIF(Jogos!$M$1:$N$136, $D57)</f>
        <v>6</v>
      </c>
      <c r="H57" s="23">
        <f>COUNTIF(Jogos!$O$1:$O$136, $D57)</f>
        <v>1</v>
      </c>
      <c r="I57" s="23">
        <f>COUNTIF(Jogos!$P$1:$Q$136, $D57)</f>
        <v>2</v>
      </c>
      <c r="J57" s="23">
        <f>COUNTIF(Jogos!$R$1:$R$136, $D57)</f>
        <v>3</v>
      </c>
      <c r="K57" s="23">
        <f ca="1">SUMIF(Jogos!$S$1:$T$136, $D57, Jogos!$T$1:$T$136)+SUMIF(Jogos!$U$1:$V$136, $D57, Jogos!$V$1:$V$136)</f>
        <v>11</v>
      </c>
      <c r="L57" s="23">
        <f ca="1">SUMIF(Jogos!$S$1:$V$136, $D57, Jogos!$V$1:$V$136)+SUMIF(Jogos!$U$1:$W$136, $D57, Jogos!$W$1:$W$136)</f>
        <v>14</v>
      </c>
      <c r="M57" s="23">
        <f t="shared" ca="1" si="68"/>
        <v>-3</v>
      </c>
      <c r="N57" s="23">
        <f t="shared" ca="1" si="69"/>
        <v>28.287488207777781</v>
      </c>
      <c r="O57" s="25">
        <v>42</v>
      </c>
      <c r="P57" s="25">
        <f t="shared" ca="1" si="70"/>
        <v>28.287488777777781</v>
      </c>
      <c r="Q57" s="25">
        <f t="shared" ca="1" si="71"/>
        <v>6</v>
      </c>
      <c r="R57" s="31">
        <f t="shared" si="72"/>
        <v>0.27777777777777779</v>
      </c>
      <c r="S57" s="23">
        <f t="shared" si="73"/>
        <v>15</v>
      </c>
      <c r="T57" s="22">
        <f>G57+ IFERROR(VLOOKUP($D57,[1]ClassGrupFases!$D$6:$N$111,T$4,FALSE),0)+IFERROR(VLOOKUP($D57,[2]ClassGrupFases!$D$6:$N$219,T$4,FALSE),0)</f>
        <v>18</v>
      </c>
      <c r="U57" s="22">
        <f>H57+ IFERROR(VLOOKUP($D57,[1]ClassGrupFases!$D$6:$N$111,U$4,FALSE),0)+IFERROR(VLOOKUP($D57,[2]ClassGrupFases!$D$6:$N$219,U$4,FALSE),0)</f>
        <v>4</v>
      </c>
      <c r="V57" s="22">
        <f>I57+ IFERROR(VLOOKUP($D57,[1]ClassGrupFases!$D$6:$N$111,V$4,FALSE),0)+IFERROR(VLOOKUP($D57,[2]ClassGrupFases!$D$6:$N$219,V$4,FALSE),0)</f>
        <v>3</v>
      </c>
      <c r="W57" s="22">
        <f>J57+ IFERROR(VLOOKUP($D57,[1]ClassGrupFases!$D$6:$N$111,W$4,FALSE),0)+IFERROR(VLOOKUP($D57,[2]ClassGrupFases!$D$6:$N$219,W$4,FALSE),0)</f>
        <v>11</v>
      </c>
      <c r="X57" s="22">
        <f ca="1">K57+ IFERROR(VLOOKUP($D57,[1]ClassGrupFases!$D$6:$N$111,X$4,FALSE),0)+IFERROR(VLOOKUP($D57,[2]ClassGrupFases!$D$6:$N$219,X$4,FALSE),0)</f>
        <v>23</v>
      </c>
      <c r="Y57" s="22">
        <f ca="1">L57+ IFERROR(VLOOKUP($D57,[1]ClassGrupFases!$D$6:$N$111,Y$4,FALSE),0)+IFERROR(VLOOKUP($D57,[2]ClassGrupFases!$D$6:$N$219,Y$4,FALSE),0)</f>
        <v>49</v>
      </c>
      <c r="Z57" s="23">
        <f t="shared" ca="1" si="74"/>
        <v>-26</v>
      </c>
      <c r="AA57" s="23">
        <f t="shared" ca="1" si="75"/>
        <v>29.315200207777778</v>
      </c>
    </row>
    <row r="59" spans="1:27" ht="25.5" x14ac:dyDescent="0.5">
      <c r="C59" s="27">
        <v>6</v>
      </c>
      <c r="D59" s="28" t="s">
        <v>37</v>
      </c>
    </row>
    <row r="60" spans="1:27" x14ac:dyDescent="0.15">
      <c r="A60" s="23" t="str">
        <f t="shared" ref="A60:A65" ca="1" si="76">CONCATENATE(C60 &amp; "º-6")</f>
        <v>4º-6</v>
      </c>
      <c r="B60" s="23" t="s">
        <v>46</v>
      </c>
      <c r="C60" s="23">
        <f t="shared" ref="C60:C65" ca="1" si="77">_xlfn.RANK.EQ(E60,$E$60:$E$65)</f>
        <v>4</v>
      </c>
      <c r="D60" s="24" t="str">
        <f t="shared" ref="D60:D65" ca="1" si="78">VLOOKUP($B60,$A$5:$P$57,4,FALSE)</f>
        <v>Dudu RJ</v>
      </c>
      <c r="E60" s="23">
        <f t="shared" ref="E60:E65" ca="1" si="79">VLOOKUP($B60,$A$5:$P$57,16,FALSE)</f>
        <v>22.631727222222221</v>
      </c>
    </row>
    <row r="61" spans="1:27" x14ac:dyDescent="0.15">
      <c r="A61" s="23" t="str">
        <f t="shared" ca="1" si="76"/>
        <v>1º-6</v>
      </c>
      <c r="B61" s="23" t="s">
        <v>47</v>
      </c>
      <c r="C61" s="23">
        <f t="shared" ca="1" si="77"/>
        <v>1</v>
      </c>
      <c r="D61" s="24" t="str">
        <f t="shared" ca="1" si="78"/>
        <v>Ronaldo Eifler RS</v>
      </c>
      <c r="E61" s="23">
        <f t="shared" ca="1" si="79"/>
        <v>33.952640333333328</v>
      </c>
    </row>
    <row r="62" spans="1:27" x14ac:dyDescent="0.15">
      <c r="A62" s="23" t="str">
        <f t="shared" ca="1" si="76"/>
        <v>5º-6</v>
      </c>
      <c r="B62" s="23" t="s">
        <v>48</v>
      </c>
      <c r="C62" s="23">
        <f t="shared" ca="1" si="77"/>
        <v>5</v>
      </c>
      <c r="D62" s="24" t="str">
        <f t="shared" ca="1" si="78"/>
        <v>Justa SP</v>
      </c>
      <c r="E62" s="23">
        <f t="shared" ca="1" si="79"/>
        <v>16.975971666666663</v>
      </c>
    </row>
    <row r="63" spans="1:27" x14ac:dyDescent="0.15">
      <c r="A63" s="23" t="str">
        <f t="shared" ca="1" si="76"/>
        <v>2º-6</v>
      </c>
      <c r="B63" s="23" t="s">
        <v>49</v>
      </c>
      <c r="C63" s="23">
        <f t="shared" ca="1" si="77"/>
        <v>2</v>
      </c>
      <c r="D63" s="24" t="str">
        <f t="shared" ca="1" si="78"/>
        <v>Alysson RJ</v>
      </c>
      <c r="E63" s="23">
        <f t="shared" ca="1" si="79"/>
        <v>33.943039333333331</v>
      </c>
    </row>
    <row r="64" spans="1:27" x14ac:dyDescent="0.15">
      <c r="A64" s="23" t="str">
        <f t="shared" ca="1" si="76"/>
        <v>6º-6</v>
      </c>
      <c r="B64" s="23" t="s">
        <v>50</v>
      </c>
      <c r="C64" s="23">
        <f t="shared" ca="1" si="77"/>
        <v>6</v>
      </c>
      <c r="D64" s="24" t="str">
        <f t="shared" ca="1" si="78"/>
        <v>Curvelo RJ</v>
      </c>
      <c r="E64" s="23">
        <f t="shared" ca="1" si="79"/>
        <v>16.975872666666664</v>
      </c>
    </row>
    <row r="65" spans="1:5" x14ac:dyDescent="0.15">
      <c r="A65" s="23" t="str">
        <f t="shared" ca="1" si="76"/>
        <v>3º-6</v>
      </c>
      <c r="B65" s="23" t="s">
        <v>51</v>
      </c>
      <c r="C65" s="23">
        <f t="shared" ca="1" si="77"/>
        <v>3</v>
      </c>
      <c r="D65" s="24" t="str">
        <f t="shared" ca="1" si="78"/>
        <v>Bergamini SP</v>
      </c>
      <c r="E65" s="23">
        <f t="shared" ca="1" si="79"/>
        <v>28.287488777777781</v>
      </c>
    </row>
    <row r="68" spans="1:5" ht="25.5" x14ac:dyDescent="0.5">
      <c r="C68" s="54" t="s">
        <v>52</v>
      </c>
      <c r="D68" s="28" t="s">
        <v>37</v>
      </c>
    </row>
    <row r="69" spans="1:5" x14ac:dyDescent="0.15">
      <c r="B69" s="23" t="s">
        <v>53</v>
      </c>
      <c r="C69" s="23">
        <f t="shared" ref="C69:C100" ca="1" si="80">_xlfn.RANK.EQ(E69,$E$69:$E$100)</f>
        <v>1</v>
      </c>
      <c r="D69" s="24" t="str">
        <f t="shared" ref="D69:D100" ca="1" si="81">VLOOKUP($B69,$A$5:$P$57,4,FALSE)</f>
        <v>Gabriel RJ</v>
      </c>
      <c r="E69" s="23">
        <f ca="1">VLOOKUP($B69,$A$5:$AA$57,27,FALSE)</f>
        <v>78.205623014074064</v>
      </c>
    </row>
    <row r="70" spans="1:5" x14ac:dyDescent="0.15">
      <c r="B70" s="23" t="s">
        <v>54</v>
      </c>
      <c r="C70" s="23">
        <f t="shared" ca="1" si="80"/>
        <v>13</v>
      </c>
      <c r="D70" s="24" t="str">
        <f t="shared" ca="1" si="81"/>
        <v>Lian MG</v>
      </c>
      <c r="E70" s="23">
        <f t="shared" ref="E70:E100" ca="1" si="82">VLOOKUP($B70,$A$5:$AA$57,27,FALSE)</f>
        <v>58.646798365555561</v>
      </c>
    </row>
    <row r="71" spans="1:5" x14ac:dyDescent="0.15">
      <c r="B71" s="23" t="s">
        <v>55</v>
      </c>
      <c r="C71" s="23">
        <f t="shared" ca="1" si="80"/>
        <v>2</v>
      </c>
      <c r="D71" s="24" t="str">
        <f t="shared" ca="1" si="81"/>
        <v>Claudio Jr MG</v>
      </c>
      <c r="E71" s="23">
        <f t="shared" ca="1" si="82"/>
        <v>74.292718130370361</v>
      </c>
    </row>
    <row r="72" spans="1:5" x14ac:dyDescent="0.15">
      <c r="B72" s="23" t="s">
        <v>56</v>
      </c>
      <c r="C72" s="23">
        <f t="shared" ca="1" si="80"/>
        <v>20</v>
      </c>
      <c r="D72" s="24" t="str">
        <f t="shared" ca="1" si="81"/>
        <v>Tabajara SP</v>
      </c>
      <c r="E72" s="23">
        <f t="shared" ca="1" si="82"/>
        <v>50.81918776814814</v>
      </c>
    </row>
    <row r="73" spans="1:5" x14ac:dyDescent="0.15">
      <c r="B73" s="23" t="s">
        <v>57</v>
      </c>
      <c r="C73" s="23">
        <f t="shared" ca="1" si="80"/>
        <v>6</v>
      </c>
      <c r="D73" s="24" t="str">
        <f t="shared" ca="1" si="81"/>
        <v>Eduardo Rocha RJ</v>
      </c>
      <c r="E73" s="23">
        <f t="shared" ca="1" si="82"/>
        <v>68.416057344814803</v>
      </c>
    </row>
    <row r="74" spans="1:5" x14ac:dyDescent="0.15">
      <c r="B74" s="23" t="s">
        <v>58</v>
      </c>
      <c r="C74" s="23">
        <f t="shared" ca="1" si="80"/>
        <v>11</v>
      </c>
      <c r="D74" s="24" t="str">
        <f t="shared" ca="1" si="81"/>
        <v>Tavares RJ</v>
      </c>
      <c r="E74" s="23">
        <f t="shared" ca="1" si="82"/>
        <v>60.598344847407411</v>
      </c>
    </row>
    <row r="75" spans="1:5" x14ac:dyDescent="0.15">
      <c r="B75" s="23" t="s">
        <v>59</v>
      </c>
      <c r="C75" s="23">
        <f t="shared" ca="1" si="80"/>
        <v>4</v>
      </c>
      <c r="D75" s="24" t="str">
        <f t="shared" ca="1" si="81"/>
        <v>Thiago Matoso RJ</v>
      </c>
      <c r="E75" s="23">
        <f t="shared" ca="1" si="82"/>
        <v>70.377503566666661</v>
      </c>
    </row>
    <row r="76" spans="1:5" x14ac:dyDescent="0.15">
      <c r="B76" s="23" t="s">
        <v>60</v>
      </c>
      <c r="C76" s="23">
        <f t="shared" ca="1" si="80"/>
        <v>16</v>
      </c>
      <c r="D76" s="24" t="str">
        <f t="shared" ca="1" si="81"/>
        <v>Roberto Giolo MS</v>
      </c>
      <c r="E76" s="23">
        <f t="shared" ca="1" si="82"/>
        <v>54.742080681851853</v>
      </c>
    </row>
    <row r="77" spans="1:5" x14ac:dyDescent="0.15">
      <c r="B77" s="23" t="s">
        <v>61</v>
      </c>
      <c r="C77" s="23">
        <f t="shared" ca="1" si="80"/>
        <v>3</v>
      </c>
      <c r="D77" s="24" t="str">
        <f t="shared" ca="1" si="81"/>
        <v>Almo PR</v>
      </c>
      <c r="E77" s="23">
        <f t="shared" ca="1" si="82"/>
        <v>72.339656258518531</v>
      </c>
    </row>
    <row r="78" spans="1:5" x14ac:dyDescent="0.15">
      <c r="B78" s="23" t="s">
        <v>62</v>
      </c>
      <c r="C78" s="23">
        <f t="shared" ca="1" si="80"/>
        <v>19</v>
      </c>
      <c r="D78" s="24" t="str">
        <f t="shared" ca="1" si="81"/>
        <v>Israel RJ</v>
      </c>
      <c r="E78" s="23">
        <f t="shared" ca="1" si="82"/>
        <v>52.779436629999999</v>
      </c>
    </row>
    <row r="79" spans="1:5" x14ac:dyDescent="0.15">
      <c r="B79" s="23" t="s">
        <v>63</v>
      </c>
      <c r="C79" s="23">
        <f t="shared" ca="1" si="80"/>
        <v>10</v>
      </c>
      <c r="D79" s="24" t="str">
        <f t="shared" ca="1" si="81"/>
        <v>Alex Lage MG</v>
      </c>
      <c r="E79" s="23">
        <f t="shared" ca="1" si="82"/>
        <v>62.550196839259257</v>
      </c>
    </row>
    <row r="80" spans="1:5" x14ac:dyDescent="0.15">
      <c r="B80" s="23" t="s">
        <v>64</v>
      </c>
      <c r="C80" s="23">
        <f t="shared" ca="1" si="80"/>
        <v>5</v>
      </c>
      <c r="D80" s="24" t="str">
        <f t="shared" ca="1" si="81"/>
        <v>Willow SP</v>
      </c>
      <c r="E80" s="23">
        <f t="shared" ca="1" si="82"/>
        <v>68.416155304814794</v>
      </c>
    </row>
    <row r="81" spans="2:5" x14ac:dyDescent="0.15">
      <c r="B81" s="23" t="s">
        <v>65</v>
      </c>
      <c r="C81" s="23">
        <f t="shared" ca="1" si="80"/>
        <v>17</v>
      </c>
      <c r="D81" s="24" t="str">
        <f t="shared" ca="1" si="81"/>
        <v>Pablo Martins RJ</v>
      </c>
      <c r="E81" s="23">
        <f t="shared" ca="1" si="82"/>
        <v>54.732283761851853</v>
      </c>
    </row>
    <row r="82" spans="2:5" x14ac:dyDescent="0.15">
      <c r="B82" s="23" t="s">
        <v>66</v>
      </c>
      <c r="C82" s="23">
        <f t="shared" ca="1" si="80"/>
        <v>9</v>
      </c>
      <c r="D82" s="24" t="str">
        <f t="shared" ca="1" si="81"/>
        <v>Capela SC</v>
      </c>
      <c r="E82" s="23">
        <f t="shared" ca="1" si="82"/>
        <v>64.511644951111123</v>
      </c>
    </row>
    <row r="83" spans="2:5" x14ac:dyDescent="0.15">
      <c r="B83" s="23" t="s">
        <v>67</v>
      </c>
      <c r="C83" s="23">
        <f t="shared" ca="1" si="80"/>
        <v>21</v>
      </c>
      <c r="D83" s="24" t="str">
        <f t="shared" ca="1" si="81"/>
        <v>Afonso SP</v>
      </c>
      <c r="E83" s="23">
        <f t="shared" ca="1" si="82"/>
        <v>46.913567164444437</v>
      </c>
    </row>
    <row r="84" spans="2:5" x14ac:dyDescent="0.15">
      <c r="B84" s="23" t="s">
        <v>68</v>
      </c>
      <c r="C84" s="23">
        <f t="shared" ca="1" si="80"/>
        <v>23</v>
      </c>
      <c r="D84" s="24" t="str">
        <f t="shared" ca="1" si="81"/>
        <v>Renato Souza MG</v>
      </c>
      <c r="E84" s="23">
        <f t="shared" ca="1" si="82"/>
        <v>44.963126232592586</v>
      </c>
    </row>
    <row r="85" spans="2:5" x14ac:dyDescent="0.15">
      <c r="B85" s="23" t="s">
        <v>69</v>
      </c>
      <c r="C85" s="23">
        <f t="shared" ca="1" si="80"/>
        <v>15</v>
      </c>
      <c r="D85" s="24" t="str">
        <f t="shared" ca="1" si="81"/>
        <v>Vinicius Rolim RJ</v>
      </c>
      <c r="E85" s="23">
        <f t="shared" ca="1" si="82"/>
        <v>56.684349253703708</v>
      </c>
    </row>
    <row r="86" spans="2:5" x14ac:dyDescent="0.15">
      <c r="B86" s="23" t="s">
        <v>70</v>
      </c>
      <c r="C86" s="23">
        <f t="shared" ca="1" si="80"/>
        <v>8</v>
      </c>
      <c r="D86" s="24" t="str">
        <f t="shared" ca="1" si="81"/>
        <v>Elsio SP</v>
      </c>
      <c r="E86" s="23">
        <f t="shared" ca="1" si="82"/>
        <v>64.512351591111113</v>
      </c>
    </row>
    <row r="87" spans="2:5" x14ac:dyDescent="0.15">
      <c r="B87" s="23" t="s">
        <v>71</v>
      </c>
      <c r="C87" s="23">
        <f t="shared" ca="1" si="80"/>
        <v>28</v>
      </c>
      <c r="D87" s="24" t="str">
        <f t="shared" ca="1" si="81"/>
        <v>Gabriel Lisboa PA</v>
      </c>
      <c r="E87" s="23">
        <f t="shared" ca="1" si="82"/>
        <v>41.048411768888883</v>
      </c>
    </row>
    <row r="88" spans="2:5" x14ac:dyDescent="0.15">
      <c r="B88" s="23" t="s">
        <v>72</v>
      </c>
      <c r="C88" s="23">
        <f t="shared" ca="1" si="80"/>
        <v>18</v>
      </c>
      <c r="D88" s="24" t="str">
        <f t="shared" ca="1" si="81"/>
        <v>Marcelinho RJ</v>
      </c>
      <c r="E88" s="23">
        <f t="shared" ca="1" si="82"/>
        <v>54.72258770185185</v>
      </c>
    </row>
    <row r="89" spans="2:5" x14ac:dyDescent="0.15">
      <c r="B89" s="23" t="s">
        <v>73</v>
      </c>
      <c r="C89" s="23">
        <f t="shared" ca="1" si="80"/>
        <v>7</v>
      </c>
      <c r="D89" s="24" t="str">
        <f t="shared" ca="1" si="81"/>
        <v>Kaka RJ</v>
      </c>
      <c r="E89" s="23">
        <f t="shared" ca="1" si="82"/>
        <v>66.473604712962967</v>
      </c>
    </row>
    <row r="90" spans="2:5" x14ac:dyDescent="0.15">
      <c r="B90" s="23" t="s">
        <v>74</v>
      </c>
      <c r="C90" s="23">
        <f t="shared" ca="1" si="80"/>
        <v>14</v>
      </c>
      <c r="D90" s="24" t="str">
        <f t="shared" ca="1" si="81"/>
        <v>João Paulo MG</v>
      </c>
      <c r="E90" s="23">
        <f t="shared" ca="1" si="82"/>
        <v>58.636483225555558</v>
      </c>
    </row>
    <row r="91" spans="2:5" x14ac:dyDescent="0.15">
      <c r="B91" s="23" t="s">
        <v>75</v>
      </c>
      <c r="C91" s="23">
        <f t="shared" ca="1" si="80"/>
        <v>12</v>
      </c>
      <c r="D91" s="24" t="str">
        <f t="shared" ca="1" si="81"/>
        <v>João Carlos RJ</v>
      </c>
      <c r="E91" s="23">
        <f t="shared" ca="1" si="82"/>
        <v>58.655998115555562</v>
      </c>
    </row>
    <row r="92" spans="2:5" x14ac:dyDescent="0.15">
      <c r="B92" s="23" t="s">
        <v>76</v>
      </c>
      <c r="C92" s="23">
        <f t="shared" ca="1" si="80"/>
        <v>27</v>
      </c>
      <c r="D92" s="24" t="str">
        <f t="shared" ca="1" si="81"/>
        <v>Vitor Luiz</v>
      </c>
      <c r="E92" s="23">
        <f t="shared" ca="1" si="82"/>
        <v>43.000169200740736</v>
      </c>
    </row>
    <row r="93" spans="2:5" x14ac:dyDescent="0.15">
      <c r="B93" s="23" t="s">
        <v>77</v>
      </c>
      <c r="C93" s="23">
        <f t="shared" ca="1" si="80"/>
        <v>22</v>
      </c>
      <c r="D93" s="24" t="str">
        <f t="shared" ca="1" si="81"/>
        <v>Mário Bürguel RS</v>
      </c>
      <c r="E93" s="23">
        <f t="shared" ca="1" si="82"/>
        <v>46.913475374444438</v>
      </c>
    </row>
    <row r="94" spans="2:5" x14ac:dyDescent="0.15">
      <c r="B94" s="23" t="s">
        <v>78</v>
      </c>
      <c r="C94" s="23">
        <f t="shared" ca="1" si="80"/>
        <v>24</v>
      </c>
      <c r="D94" s="24" t="str">
        <f t="shared" ca="1" si="81"/>
        <v>Diogo SP</v>
      </c>
      <c r="E94" s="23">
        <f t="shared" ca="1" si="82"/>
        <v>44.962122412592592</v>
      </c>
    </row>
    <row r="95" spans="2:5" x14ac:dyDescent="0.15">
      <c r="B95" s="23" t="s">
        <v>79</v>
      </c>
      <c r="C95" s="23">
        <f t="shared" ca="1" si="80"/>
        <v>29</v>
      </c>
      <c r="D95" s="24" t="str">
        <f t="shared" ca="1" si="81"/>
        <v>Cléo Jr SP</v>
      </c>
      <c r="E95" s="23">
        <f t="shared" ca="1" si="82"/>
        <v>41.048113618888884</v>
      </c>
    </row>
    <row r="96" spans="2:5" x14ac:dyDescent="0.15">
      <c r="B96" s="23" t="s">
        <v>80</v>
      </c>
      <c r="C96" s="23">
        <f t="shared" ca="1" si="80"/>
        <v>31</v>
      </c>
      <c r="D96" s="24" t="str">
        <f t="shared" ca="1" si="81"/>
        <v>Claudio Mastrangelo RS</v>
      </c>
      <c r="E96" s="23">
        <f t="shared" ca="1" si="82"/>
        <v>35.181949943333329</v>
      </c>
    </row>
    <row r="97" spans="2:5" x14ac:dyDescent="0.15">
      <c r="B97" s="23" t="s">
        <v>81</v>
      </c>
      <c r="C97" s="23">
        <f t="shared" ca="1" si="80"/>
        <v>25</v>
      </c>
      <c r="D97" s="24" t="str">
        <f t="shared" ca="1" si="81"/>
        <v>André Araújo AM</v>
      </c>
      <c r="E97" s="23">
        <f t="shared" ca="1" si="82"/>
        <v>44.962020162592587</v>
      </c>
    </row>
    <row r="98" spans="2:5" x14ac:dyDescent="0.15">
      <c r="B98" s="23" t="s">
        <v>82</v>
      </c>
      <c r="C98" s="23">
        <f t="shared" ca="1" si="80"/>
        <v>30</v>
      </c>
      <c r="D98" s="24" t="str">
        <f t="shared" ca="1" si="81"/>
        <v>Marcelo Aranha SP</v>
      </c>
      <c r="E98" s="23">
        <f t="shared" ca="1" si="82"/>
        <v>39.095661487037034</v>
      </c>
    </row>
    <row r="99" spans="2:5" x14ac:dyDescent="0.15">
      <c r="B99" s="23" t="str">
        <f ca="1">VLOOKUP("1º-6",$A$60:$B$65,2,FALSE)</f>
        <v>6B</v>
      </c>
      <c r="C99" s="23">
        <f t="shared" ca="1" si="80"/>
        <v>32</v>
      </c>
      <c r="D99" s="24" t="str">
        <f t="shared" ca="1" si="81"/>
        <v>Ronaldo Eifler RS</v>
      </c>
      <c r="E99" s="23">
        <f t="shared" ca="1" si="82"/>
        <v>31.278350419629628</v>
      </c>
    </row>
    <row r="100" spans="2:5" x14ac:dyDescent="0.15">
      <c r="B100" s="23" t="str">
        <f ca="1">VLOOKUP("2º-6",$A$60:$B$65,2,FALSE)</f>
        <v>6D</v>
      </c>
      <c r="C100" s="23">
        <f t="shared" ca="1" si="80"/>
        <v>26</v>
      </c>
      <c r="D100" s="24" t="str">
        <f t="shared" ca="1" si="81"/>
        <v>Alysson RJ</v>
      </c>
      <c r="E100" s="23">
        <f t="shared" ca="1" si="82"/>
        <v>43.000170400740743</v>
      </c>
    </row>
    <row r="103" spans="2:5" ht="25.5" x14ac:dyDescent="0.5">
      <c r="C103" s="55" t="s">
        <v>83</v>
      </c>
      <c r="D103" s="28" t="s">
        <v>37</v>
      </c>
    </row>
    <row r="104" spans="2:5" x14ac:dyDescent="0.15">
      <c r="B104" s="23" t="str">
        <f ca="1">VLOOKUP("3º-6",$A$60:$B$65,2,FALSE)</f>
        <v>6F</v>
      </c>
      <c r="C104" s="23">
        <f t="shared" ref="C104:C113" ca="1" si="83">_xlfn.RANK.EQ(E104,$E$104:$E$113) + 32</f>
        <v>39</v>
      </c>
      <c r="D104" s="24" t="str">
        <f t="shared" ref="D104:D113" ca="1" si="84">VLOOKUP($B104,$A$5:$P$57,4,FALSE)</f>
        <v>Bergamini SP</v>
      </c>
      <c r="E104" s="23">
        <f t="shared" ref="E104:E113" ca="1" si="85">VLOOKUP($B104,$A$5:$AA$57,27,FALSE)</f>
        <v>29.315200207777778</v>
      </c>
    </row>
    <row r="105" spans="2:5" x14ac:dyDescent="0.15">
      <c r="B105" s="23" t="str">
        <f ca="1">VLOOKUP("4º-6",$A$60:$B$65,2,FALSE)</f>
        <v>6A</v>
      </c>
      <c r="C105" s="23">
        <f t="shared" ca="1" si="83"/>
        <v>34</v>
      </c>
      <c r="D105" s="24" t="str">
        <f t="shared" ca="1" si="84"/>
        <v>Dudu RJ</v>
      </c>
      <c r="E105" s="23">
        <f t="shared" ca="1" si="85"/>
        <v>39.096460957037038</v>
      </c>
    </row>
    <row r="106" spans="2:5" x14ac:dyDescent="0.15">
      <c r="B106" s="23" t="str">
        <f ca="1">VLOOKUP("5º-6",$A$60:$B$65,2,FALSE)</f>
        <v>6C</v>
      </c>
      <c r="C106" s="23">
        <f t="shared" ca="1" si="83"/>
        <v>40</v>
      </c>
      <c r="D106" s="24" t="str">
        <f t="shared" ca="1" si="84"/>
        <v>Justa SP</v>
      </c>
      <c r="E106" s="23">
        <f t="shared" ca="1" si="85"/>
        <v>27.364547635925927</v>
      </c>
    </row>
    <row r="107" spans="2:5" x14ac:dyDescent="0.15">
      <c r="B107" s="23" t="str">
        <f ca="1">VLOOKUP("6º-6",$A$60:$B$65,2,FALSE)</f>
        <v>6E</v>
      </c>
      <c r="C107" s="23">
        <f t="shared" ca="1" si="83"/>
        <v>41</v>
      </c>
      <c r="D107" s="24" t="str">
        <f t="shared" ca="1" si="84"/>
        <v>Curvelo RJ</v>
      </c>
      <c r="E107" s="23">
        <f t="shared" ca="1" si="85"/>
        <v>27.363839445925926</v>
      </c>
    </row>
    <row r="108" spans="2:5" x14ac:dyDescent="0.15">
      <c r="B108" s="23" t="s">
        <v>84</v>
      </c>
      <c r="C108" s="23">
        <f t="shared" ca="1" si="83"/>
        <v>36</v>
      </c>
      <c r="D108" s="24" t="str">
        <f t="shared" ca="1" si="84"/>
        <v>Rogelson PR</v>
      </c>
      <c r="E108" s="23">
        <f t="shared" ca="1" si="85"/>
        <v>33.220394371481483</v>
      </c>
    </row>
    <row r="109" spans="2:5" x14ac:dyDescent="0.15">
      <c r="B109" s="23" t="s">
        <v>85</v>
      </c>
      <c r="C109" s="23">
        <f t="shared" ca="1" si="83"/>
        <v>35</v>
      </c>
      <c r="D109" s="24" t="str">
        <f t="shared" ca="1" si="84"/>
        <v>Eduardo Massa MG</v>
      </c>
      <c r="E109" s="23">
        <f t="shared" ca="1" si="85"/>
        <v>35.172565133333329</v>
      </c>
    </row>
    <row r="110" spans="2:5" x14ac:dyDescent="0.15">
      <c r="B110" s="23" t="s">
        <v>86</v>
      </c>
      <c r="C110" s="23">
        <f t="shared" ca="1" si="83"/>
        <v>42</v>
      </c>
      <c r="D110" s="24" t="str">
        <f t="shared" ca="1" si="84"/>
        <v>Luiz Coelho SP</v>
      </c>
      <c r="E110" s="23">
        <f t="shared" ca="1" si="85"/>
        <v>25.412285774074071</v>
      </c>
    </row>
    <row r="111" spans="2:5" x14ac:dyDescent="0.15">
      <c r="B111" s="23" t="s">
        <v>87</v>
      </c>
      <c r="C111" s="23">
        <f t="shared" ca="1" si="83"/>
        <v>33</v>
      </c>
      <c r="D111" s="24" t="str">
        <f t="shared" ca="1" si="84"/>
        <v>Marcelo Baceiredo MG</v>
      </c>
      <c r="E111" s="23">
        <f t="shared" ca="1" si="85"/>
        <v>41.048003538888885</v>
      </c>
    </row>
    <row r="112" spans="2:5" x14ac:dyDescent="0.15">
      <c r="B112" s="23" t="s">
        <v>88</v>
      </c>
      <c r="C112" s="23">
        <f t="shared" ca="1" si="83"/>
        <v>38</v>
      </c>
      <c r="D112" s="24" t="str">
        <f t="shared" ca="1" si="84"/>
        <v>Rogério MG</v>
      </c>
      <c r="E112" s="23">
        <f t="shared" ca="1" si="85"/>
        <v>29.315398317777781</v>
      </c>
    </row>
    <row r="113" spans="2:5" x14ac:dyDescent="0.15">
      <c r="B113" s="23" t="s">
        <v>89</v>
      </c>
      <c r="C113" s="23">
        <f t="shared" ca="1" si="83"/>
        <v>37</v>
      </c>
      <c r="D113" s="24" t="str">
        <f t="shared" ca="1" si="84"/>
        <v>João Marcelo MG</v>
      </c>
      <c r="E113" s="23">
        <f t="shared" ca="1" si="85"/>
        <v>33.220311951481477</v>
      </c>
    </row>
  </sheetData>
  <sheetProtection algorithmName="SHA-512" hashValue="n6Cci6VkOnZ1PJI+EjL8MfEBn2CeqrvX3V8s23PV/uVsrl3e4NJBSqBe6iPDtYWUTGtgVFxgmBIo+0pElhJu3Q==" saltValue="/lezTL2F4Qu92iZcKTDeww==" spinCount="100000" sheet="1" objects="1" scenarios="1"/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2848A-2323-4EA4-8384-4DF97796858A}">
  <dimension ref="A1:M55"/>
  <sheetViews>
    <sheetView showGridLines="0" workbookViewId="0">
      <pane ySplit="1" topLeftCell="A2" activePane="bottomLeft" state="frozen"/>
      <selection pane="bottomLeft"/>
    </sheetView>
  </sheetViews>
  <sheetFormatPr defaultRowHeight="17.25" x14ac:dyDescent="0.3"/>
  <cols>
    <col min="1" max="1" width="1.7109375" style="36" customWidth="1"/>
    <col min="2" max="2" width="7.7109375" style="53" customWidth="1"/>
    <col min="3" max="3" width="40.7109375" style="38" customWidth="1"/>
    <col min="4" max="12" width="8.7109375" style="39" customWidth="1"/>
    <col min="13" max="13" width="9.140625" style="40"/>
    <col min="14" max="16384" width="9.140625" style="32"/>
  </cols>
  <sheetData>
    <row r="1" spans="1:13" ht="20.25" x14ac:dyDescent="0.3">
      <c r="B1" s="37" t="s">
        <v>45</v>
      </c>
    </row>
    <row r="2" spans="1:13" x14ac:dyDescent="0.3">
      <c r="B2" s="41" t="s">
        <v>1</v>
      </c>
    </row>
    <row r="3" spans="1:13" x14ac:dyDescent="0.3">
      <c r="B3" s="42" t="s">
        <v>24</v>
      </c>
      <c r="C3" s="43" t="s">
        <v>37</v>
      </c>
      <c r="D3" s="44" t="s">
        <v>38</v>
      </c>
      <c r="E3" s="44" t="s">
        <v>39</v>
      </c>
      <c r="F3" s="44" t="s">
        <v>15</v>
      </c>
      <c r="G3" s="44" t="s">
        <v>16</v>
      </c>
      <c r="H3" s="44" t="s">
        <v>17</v>
      </c>
      <c r="I3" s="44" t="s">
        <v>18</v>
      </c>
      <c r="J3" s="44" t="s">
        <v>40</v>
      </c>
      <c r="K3" s="44" t="s">
        <v>41</v>
      </c>
      <c r="L3" s="44" t="s">
        <v>42</v>
      </c>
    </row>
    <row r="4" spans="1:13" x14ac:dyDescent="0.3">
      <c r="A4" s="36">
        <v>1</v>
      </c>
      <c r="B4" s="45">
        <f ca="1">IFERROR(VLOOKUP($A4,ClassGrupFases!$C$6:$Q$13,15,FALSE),"")</f>
        <v>1</v>
      </c>
      <c r="C4" s="46" t="str">
        <f ca="1">IFERROR(VLOOKUP($A4,ClassGrupFases!$C$6:$Q$13,2,FALSE),"")</f>
        <v>Gabriel RJ</v>
      </c>
      <c r="D4" s="47">
        <f ca="1">IFERROR(VLOOKUP($A4,ClassGrupFases!$C$6:$Q$13,3,FALSE),"")</f>
        <v>1</v>
      </c>
      <c r="E4" s="48">
        <f ca="1">IFERROR(VLOOKUP($A4,ClassGrupFases!$C$6:$Q$13,4,FALSE),"")</f>
        <v>18</v>
      </c>
      <c r="F4" s="48">
        <f ca="1">IFERROR(VLOOKUP($A4,ClassGrupFases!$C$6:$Q$13,5,FALSE),"")</f>
        <v>6</v>
      </c>
      <c r="G4" s="48">
        <f ca="1">IFERROR(VLOOKUP($A4,ClassGrupFases!$C$6:$Q$13,6,FALSE),"")</f>
        <v>6</v>
      </c>
      <c r="H4" s="48">
        <f ca="1">IFERROR(VLOOKUP($A4,ClassGrupFases!$C$6:$Q$13,7,FALSE),"")</f>
        <v>0</v>
      </c>
      <c r="I4" s="48">
        <f ca="1">IFERROR(VLOOKUP($A4,ClassGrupFases!$C$6:$Q$13,8,FALSE),"")</f>
        <v>0</v>
      </c>
      <c r="J4" s="48">
        <f ca="1">IFERROR(VLOOKUP($A4,ClassGrupFases!$C$6:$Q$13,9,FALSE),"")</f>
        <v>18</v>
      </c>
      <c r="K4" s="48">
        <f ca="1">IFERROR(VLOOKUP($A4,ClassGrupFases!$C$6:$Q$13,10,FALSE),"")</f>
        <v>6</v>
      </c>
      <c r="L4" s="48">
        <f ca="1">IFERROR(VLOOKUP($A4,ClassGrupFases!$C$6:$Q$13,11,FALSE),"")</f>
        <v>12</v>
      </c>
      <c r="M4" s="40">
        <f ca="1">IFERROR(VLOOKUP($A4,ClassGrupFases!$C$6:$Q$13,1,FALSE),"")</f>
        <v>1</v>
      </c>
    </row>
    <row r="5" spans="1:13" x14ac:dyDescent="0.3">
      <c r="A5" s="36">
        <v>2</v>
      </c>
      <c r="B5" s="45">
        <f ca="1">IFERROR(VLOOKUP($A5,ClassGrupFases!$C$6:$Q$13,15,FALSE),"")</f>
        <v>2</v>
      </c>
      <c r="C5" s="46" t="str">
        <f ca="1">IFERROR(VLOOKUP($A5,ClassGrupFases!$C$6:$Q$13,2,FALSE),"")</f>
        <v>Thiago Matoso RJ</v>
      </c>
      <c r="D5" s="47">
        <f ca="1">IFERROR(VLOOKUP($A5,ClassGrupFases!$C$6:$Q$13,3,FALSE),"")</f>
        <v>0.72222222222222221</v>
      </c>
      <c r="E5" s="48">
        <f ca="1">IFERROR(VLOOKUP($A5,ClassGrupFases!$C$6:$Q$13,4,FALSE),"")</f>
        <v>13</v>
      </c>
      <c r="F5" s="48">
        <f ca="1">IFERROR(VLOOKUP($A5,ClassGrupFases!$C$6:$Q$13,5,FALSE),"")</f>
        <v>6</v>
      </c>
      <c r="G5" s="48">
        <f ca="1">IFERROR(VLOOKUP($A5,ClassGrupFases!$C$6:$Q$13,6,FALSE),"")</f>
        <v>4</v>
      </c>
      <c r="H5" s="48">
        <f ca="1">IFERROR(VLOOKUP($A5,ClassGrupFases!$C$6:$Q$13,7,FALSE),"")</f>
        <v>1</v>
      </c>
      <c r="I5" s="48">
        <f ca="1">IFERROR(VLOOKUP($A5,ClassGrupFases!$C$6:$Q$13,8,FALSE),"")</f>
        <v>1</v>
      </c>
      <c r="J5" s="48">
        <f ca="1">IFERROR(VLOOKUP($A5,ClassGrupFases!$C$6:$Q$13,9,FALSE),"")</f>
        <v>11</v>
      </c>
      <c r="K5" s="48">
        <f ca="1">IFERROR(VLOOKUP($A5,ClassGrupFases!$C$6:$Q$13,10,FALSE),"")</f>
        <v>8</v>
      </c>
      <c r="L5" s="48">
        <f ca="1">IFERROR(VLOOKUP($A5,ClassGrupFases!$C$6:$Q$13,11,FALSE),"")</f>
        <v>3</v>
      </c>
      <c r="M5" s="40">
        <f ca="1">IFERROR(VLOOKUP($A5,ClassGrupFases!$C$6:$Q$13,1,FALSE),"")</f>
        <v>2</v>
      </c>
    </row>
    <row r="6" spans="1:13" x14ac:dyDescent="0.3">
      <c r="A6" s="36">
        <v>3</v>
      </c>
      <c r="B6" s="45">
        <f ca="1">IFERROR(VLOOKUP($A6,ClassGrupFases!$C$6:$Q$13,15,FALSE),"")</f>
        <v>3</v>
      </c>
      <c r="C6" s="46" t="str">
        <f ca="1">IFERROR(VLOOKUP($A6,ClassGrupFases!$C$6:$Q$13,2,FALSE),"")</f>
        <v>Pablo Martins RJ</v>
      </c>
      <c r="D6" s="47">
        <f ca="1">IFERROR(VLOOKUP($A6,ClassGrupFases!$C$6:$Q$13,3,FALSE),"")</f>
        <v>0.55555555555555558</v>
      </c>
      <c r="E6" s="48">
        <f ca="1">IFERROR(VLOOKUP($A6,ClassGrupFases!$C$6:$Q$13,4,FALSE),"")</f>
        <v>10</v>
      </c>
      <c r="F6" s="48">
        <f ca="1">IFERROR(VLOOKUP($A6,ClassGrupFases!$C$6:$Q$13,5,FALSE),"")</f>
        <v>6</v>
      </c>
      <c r="G6" s="48">
        <f ca="1">IFERROR(VLOOKUP($A6,ClassGrupFases!$C$6:$Q$13,6,FALSE),"")</f>
        <v>3</v>
      </c>
      <c r="H6" s="48">
        <f ca="1">IFERROR(VLOOKUP($A6,ClassGrupFases!$C$6:$Q$13,7,FALSE),"")</f>
        <v>1</v>
      </c>
      <c r="I6" s="48">
        <f ca="1">IFERROR(VLOOKUP($A6,ClassGrupFases!$C$6:$Q$13,8,FALSE),"")</f>
        <v>2</v>
      </c>
      <c r="J6" s="48">
        <f ca="1">IFERROR(VLOOKUP($A6,ClassGrupFases!$C$6:$Q$13,9,FALSE),"")</f>
        <v>9</v>
      </c>
      <c r="K6" s="48">
        <f ca="1">IFERROR(VLOOKUP($A6,ClassGrupFases!$C$6:$Q$13,10,FALSE),"")</f>
        <v>8</v>
      </c>
      <c r="L6" s="48">
        <f ca="1">IFERROR(VLOOKUP($A6,ClassGrupFases!$C$6:$Q$13,11,FALSE),"")</f>
        <v>1</v>
      </c>
      <c r="M6" s="40">
        <f ca="1">IFERROR(VLOOKUP($A6,ClassGrupFases!$C$6:$Q$13,1,FALSE),"")</f>
        <v>3</v>
      </c>
    </row>
    <row r="7" spans="1:13" x14ac:dyDescent="0.3">
      <c r="A7" s="36">
        <v>4</v>
      </c>
      <c r="B7" s="45">
        <f ca="1">IFERROR(VLOOKUP($A7,ClassGrupFases!$C$6:$Q$13,15,FALSE),"")</f>
        <v>4</v>
      </c>
      <c r="C7" s="46" t="str">
        <f ca="1">IFERROR(VLOOKUP($A7,ClassGrupFases!$C$6:$Q$13,2,FALSE),"")</f>
        <v>Gabriel Lisboa PA</v>
      </c>
      <c r="D7" s="47">
        <f ca="1">IFERROR(VLOOKUP($A7,ClassGrupFases!$C$6:$Q$13,3,FALSE),"")</f>
        <v>0.5</v>
      </c>
      <c r="E7" s="48">
        <f ca="1">IFERROR(VLOOKUP($A7,ClassGrupFases!$C$6:$Q$13,4,FALSE),"")</f>
        <v>9</v>
      </c>
      <c r="F7" s="48">
        <f ca="1">IFERROR(VLOOKUP($A7,ClassGrupFases!$C$6:$Q$13,5,FALSE),"")</f>
        <v>6</v>
      </c>
      <c r="G7" s="48">
        <f ca="1">IFERROR(VLOOKUP($A7,ClassGrupFases!$C$6:$Q$13,6,FALSE),"")</f>
        <v>3</v>
      </c>
      <c r="H7" s="48">
        <f ca="1">IFERROR(VLOOKUP($A7,ClassGrupFases!$C$6:$Q$13,7,FALSE),"")</f>
        <v>0</v>
      </c>
      <c r="I7" s="48">
        <f ca="1">IFERROR(VLOOKUP($A7,ClassGrupFases!$C$6:$Q$13,8,FALSE),"")</f>
        <v>3</v>
      </c>
      <c r="J7" s="48">
        <f ca="1">IFERROR(VLOOKUP($A7,ClassGrupFases!$C$6:$Q$13,9,FALSE),"")</f>
        <v>11</v>
      </c>
      <c r="K7" s="48">
        <f ca="1">IFERROR(VLOOKUP($A7,ClassGrupFases!$C$6:$Q$13,10,FALSE),"")</f>
        <v>9</v>
      </c>
      <c r="L7" s="48">
        <f ca="1">IFERROR(VLOOKUP($A7,ClassGrupFases!$C$6:$Q$13,11,FALSE),"")</f>
        <v>2</v>
      </c>
      <c r="M7" s="40">
        <f ca="1">IFERROR(VLOOKUP($A7,ClassGrupFases!$C$6:$Q$13,1,FALSE),"")</f>
        <v>4</v>
      </c>
    </row>
    <row r="8" spans="1:13" x14ac:dyDescent="0.3">
      <c r="A8" s="36">
        <v>5</v>
      </c>
      <c r="B8" s="45">
        <f ca="1">IFERROR(VLOOKUP($A8,ClassGrupFases!$C$6:$Q$13,15,FALSE),"")</f>
        <v>5</v>
      </c>
      <c r="C8" s="46" t="str">
        <f ca="1">IFERROR(VLOOKUP($A8,ClassGrupFases!$C$6:$Q$13,2,FALSE),"")</f>
        <v>Mário Bürguel RS</v>
      </c>
      <c r="D8" s="47">
        <f ca="1">IFERROR(VLOOKUP($A8,ClassGrupFases!$C$6:$Q$13,3,FALSE),"")</f>
        <v>0.33333333333333331</v>
      </c>
      <c r="E8" s="48">
        <f ca="1">IFERROR(VLOOKUP($A8,ClassGrupFases!$C$6:$Q$13,4,FALSE),"")</f>
        <v>6</v>
      </c>
      <c r="F8" s="48">
        <f ca="1">IFERROR(VLOOKUP($A8,ClassGrupFases!$C$6:$Q$13,5,FALSE),"")</f>
        <v>6</v>
      </c>
      <c r="G8" s="48">
        <f ca="1">IFERROR(VLOOKUP($A8,ClassGrupFases!$C$6:$Q$13,6,FALSE),"")</f>
        <v>2</v>
      </c>
      <c r="H8" s="48">
        <f ca="1">IFERROR(VLOOKUP($A8,ClassGrupFases!$C$6:$Q$13,7,FALSE),"")</f>
        <v>0</v>
      </c>
      <c r="I8" s="48">
        <f ca="1">IFERROR(VLOOKUP($A8,ClassGrupFases!$C$6:$Q$13,8,FALSE),"")</f>
        <v>4</v>
      </c>
      <c r="J8" s="48">
        <f ca="1">IFERROR(VLOOKUP($A8,ClassGrupFases!$C$6:$Q$13,9,FALSE),"")</f>
        <v>6</v>
      </c>
      <c r="K8" s="48">
        <f ca="1">IFERROR(VLOOKUP($A8,ClassGrupFases!$C$6:$Q$13,10,FALSE),"")</f>
        <v>12</v>
      </c>
      <c r="L8" s="48">
        <f ca="1">IFERROR(VLOOKUP($A8,ClassGrupFases!$C$6:$Q$13,11,FALSE),"")</f>
        <v>-6</v>
      </c>
      <c r="M8" s="40">
        <f ca="1">IFERROR(VLOOKUP($A8,ClassGrupFases!$C$6:$Q$13,1,FALSE),"")</f>
        <v>5</v>
      </c>
    </row>
    <row r="9" spans="1:13" x14ac:dyDescent="0.3">
      <c r="A9" s="36">
        <v>6</v>
      </c>
      <c r="B9" s="45">
        <f ca="1">IFERROR(VLOOKUP($A9,ClassGrupFases!$C$6:$Q$13,15,FALSE),"")</f>
        <v>6</v>
      </c>
      <c r="C9" s="46" t="str">
        <f ca="1">IFERROR(VLOOKUP($A9,ClassGrupFases!$C$6:$Q$13,2,FALSE),"")</f>
        <v>Dudu RJ</v>
      </c>
      <c r="D9" s="47">
        <f ca="1">IFERROR(VLOOKUP($A9,ClassGrupFases!$C$6:$Q$13,3,FALSE),"")</f>
        <v>0.22222222222222221</v>
      </c>
      <c r="E9" s="48">
        <f ca="1">IFERROR(VLOOKUP($A9,ClassGrupFases!$C$6:$Q$13,4,FALSE),"")</f>
        <v>4</v>
      </c>
      <c r="F9" s="48">
        <f ca="1">IFERROR(VLOOKUP($A9,ClassGrupFases!$C$6:$Q$13,5,FALSE),"")</f>
        <v>6</v>
      </c>
      <c r="G9" s="48">
        <f ca="1">IFERROR(VLOOKUP($A9,ClassGrupFases!$C$6:$Q$13,6,FALSE),"")</f>
        <v>1</v>
      </c>
      <c r="H9" s="48">
        <f ca="1">IFERROR(VLOOKUP($A9,ClassGrupFases!$C$6:$Q$13,7,FALSE),"")</f>
        <v>1</v>
      </c>
      <c r="I9" s="48">
        <f ca="1">IFERROR(VLOOKUP($A9,ClassGrupFases!$C$6:$Q$13,8,FALSE),"")</f>
        <v>4</v>
      </c>
      <c r="J9" s="48">
        <f ca="1">IFERROR(VLOOKUP($A9,ClassGrupFases!$C$6:$Q$13,9,FALSE),"")</f>
        <v>5</v>
      </c>
      <c r="K9" s="48">
        <f ca="1">IFERROR(VLOOKUP($A9,ClassGrupFases!$C$6:$Q$13,10,FALSE),"")</f>
        <v>10</v>
      </c>
      <c r="L9" s="48">
        <f ca="1">IFERROR(VLOOKUP($A9,ClassGrupFases!$C$6:$Q$13,11,FALSE),"")</f>
        <v>-5</v>
      </c>
      <c r="M9" s="40">
        <f ca="1">IFERROR(VLOOKUP($A9,ClassGrupFases!$C$6:$Q$13,1,FALSE),"")</f>
        <v>6</v>
      </c>
    </row>
    <row r="10" spans="1:13" x14ac:dyDescent="0.3">
      <c r="A10" s="36">
        <v>7</v>
      </c>
      <c r="B10" s="49">
        <f ca="1">IFERROR(VLOOKUP($A10,ClassGrupFases!$C$6:$Q$13,15,FALSE),"")</f>
        <v>7</v>
      </c>
      <c r="C10" s="50" t="str">
        <f ca="1">IFERROR(VLOOKUP($A10,ClassGrupFases!$C$6:$Q$13,2,FALSE),"")</f>
        <v>Rogelson PR</v>
      </c>
      <c r="D10" s="51">
        <f ca="1">IFERROR(VLOOKUP($A10,ClassGrupFases!$C$6:$Q$13,3,FALSE),"")</f>
        <v>5.5555555555555552E-2</v>
      </c>
      <c r="E10" s="52">
        <f ca="1">IFERROR(VLOOKUP($A10,ClassGrupFases!$C$6:$Q$13,4,FALSE),"")</f>
        <v>1</v>
      </c>
      <c r="F10" s="52">
        <f ca="1">IFERROR(VLOOKUP($A10,ClassGrupFases!$C$6:$Q$13,5,FALSE),"")</f>
        <v>6</v>
      </c>
      <c r="G10" s="52">
        <f ca="1">IFERROR(VLOOKUP($A10,ClassGrupFases!$C$6:$Q$13,6,FALSE),"")</f>
        <v>0</v>
      </c>
      <c r="H10" s="52">
        <f ca="1">IFERROR(VLOOKUP($A10,ClassGrupFases!$C$6:$Q$13,7,FALSE),"")</f>
        <v>1</v>
      </c>
      <c r="I10" s="52">
        <f ca="1">IFERROR(VLOOKUP($A10,ClassGrupFases!$C$6:$Q$13,8,FALSE),"")</f>
        <v>5</v>
      </c>
      <c r="J10" s="52">
        <f ca="1">IFERROR(VLOOKUP($A10,ClassGrupFases!$C$6:$Q$13,9,FALSE),"")</f>
        <v>2</v>
      </c>
      <c r="K10" s="52">
        <f ca="1">IFERROR(VLOOKUP($A10,ClassGrupFases!$C$6:$Q$13,10,FALSE),"")</f>
        <v>9</v>
      </c>
      <c r="L10" s="52">
        <f ca="1">IFERROR(VLOOKUP($A10,ClassGrupFases!$C$6:$Q$13,11,FALSE),"")</f>
        <v>-7</v>
      </c>
      <c r="M10" s="40">
        <f ca="1">IFERROR(VLOOKUP($A10,ClassGrupFases!$C$6:$Q$13,1,FALSE),"")</f>
        <v>7</v>
      </c>
    </row>
    <row r="12" spans="1:13" x14ac:dyDescent="0.3">
      <c r="B12" s="42" t="s">
        <v>25</v>
      </c>
      <c r="C12" s="43" t="s">
        <v>37</v>
      </c>
      <c r="D12" s="44" t="s">
        <v>38</v>
      </c>
      <c r="E12" s="44" t="s">
        <v>39</v>
      </c>
      <c r="F12" s="44" t="s">
        <v>15</v>
      </c>
      <c r="G12" s="44" t="s">
        <v>16</v>
      </c>
      <c r="H12" s="44" t="s">
        <v>17</v>
      </c>
      <c r="I12" s="44" t="s">
        <v>18</v>
      </c>
      <c r="J12" s="44" t="s">
        <v>40</v>
      </c>
      <c r="K12" s="44" t="s">
        <v>41</v>
      </c>
      <c r="L12" s="44" t="s">
        <v>42</v>
      </c>
    </row>
    <row r="13" spans="1:13" x14ac:dyDescent="0.3">
      <c r="A13" s="36">
        <v>1</v>
      </c>
      <c r="B13" s="45">
        <f ca="1">IFERROR(VLOOKUP($A13,ClassGrupFases!$C$15:$Q$22,15,FALSE),"")</f>
        <v>1</v>
      </c>
      <c r="C13" s="46" t="str">
        <f ca="1">IFERROR(VLOOKUP($A13,ClassGrupFases!$C$15:$Q$22,2,FALSE),"")</f>
        <v>Lian MG</v>
      </c>
      <c r="D13" s="47">
        <f ca="1">IFERROR(VLOOKUP($A13,ClassGrupFases!$C$15:$Q$22,3,FALSE),"")</f>
        <v>0.72222222222222221</v>
      </c>
      <c r="E13" s="48">
        <f ca="1">IFERROR(VLOOKUP($A13,ClassGrupFases!$C$15:$Q$22,4,FALSE),"")</f>
        <v>13</v>
      </c>
      <c r="F13" s="48">
        <f ca="1">IFERROR(VLOOKUP($A13,ClassGrupFases!$C$15:$Q$22,5,FALSE),"")</f>
        <v>6</v>
      </c>
      <c r="G13" s="48">
        <f ca="1">IFERROR(VLOOKUP($A13,ClassGrupFases!$C$15:$Q$22,6,FALSE),"")</f>
        <v>4</v>
      </c>
      <c r="H13" s="48">
        <f ca="1">IFERROR(VLOOKUP($A13,ClassGrupFases!$C$15:$Q$22,7,FALSE),"")</f>
        <v>1</v>
      </c>
      <c r="I13" s="48">
        <f ca="1">IFERROR(VLOOKUP($A13,ClassGrupFases!$C$15:$Q$22,8,FALSE),"")</f>
        <v>1</v>
      </c>
      <c r="J13" s="48">
        <f ca="1">IFERROR(VLOOKUP($A13,ClassGrupFases!$C$15:$Q$22,9,FALSE),"")</f>
        <v>19</v>
      </c>
      <c r="K13" s="48">
        <f ca="1">IFERROR(VLOOKUP($A13,ClassGrupFases!$C$15:$Q$22,10,FALSE),"")</f>
        <v>12</v>
      </c>
      <c r="L13" s="48">
        <f ca="1">IFERROR(VLOOKUP($A13,ClassGrupFases!$C$15:$Q$22,11,FALSE),"")</f>
        <v>7</v>
      </c>
      <c r="M13" s="40">
        <f ca="1">IFERROR(VLOOKUP($A13,ClassGrupFases!$C$15:$Q$22,1,FALSE),"")</f>
        <v>1</v>
      </c>
    </row>
    <row r="14" spans="1:13" x14ac:dyDescent="0.3">
      <c r="A14" s="36">
        <v>2</v>
      </c>
      <c r="B14" s="45">
        <f ca="1">IFERROR(VLOOKUP($A14,ClassGrupFases!$C$15:$Q$22,15,FALSE),"")</f>
        <v>2</v>
      </c>
      <c r="C14" s="46" t="str">
        <f ca="1">IFERROR(VLOOKUP($A14,ClassGrupFases!$C$15:$Q$22,2,FALSE),"")</f>
        <v>Roberto Giolo MS</v>
      </c>
      <c r="D14" s="47">
        <f ca="1">IFERROR(VLOOKUP($A14,ClassGrupFases!$C$15:$Q$22,3,FALSE),"")</f>
        <v>0.66666666666666663</v>
      </c>
      <c r="E14" s="48">
        <f ca="1">IFERROR(VLOOKUP($A14,ClassGrupFases!$C$15:$Q$22,4,FALSE),"")</f>
        <v>12</v>
      </c>
      <c r="F14" s="48">
        <f ca="1">IFERROR(VLOOKUP($A14,ClassGrupFases!$C$15:$Q$22,5,FALSE),"")</f>
        <v>6</v>
      </c>
      <c r="G14" s="48">
        <f ca="1">IFERROR(VLOOKUP($A14,ClassGrupFases!$C$15:$Q$22,6,FALSE),"")</f>
        <v>4</v>
      </c>
      <c r="H14" s="48">
        <f ca="1">IFERROR(VLOOKUP($A14,ClassGrupFases!$C$15:$Q$22,7,FALSE),"")</f>
        <v>0</v>
      </c>
      <c r="I14" s="48">
        <f ca="1">IFERROR(VLOOKUP($A14,ClassGrupFases!$C$15:$Q$22,8,FALSE),"")</f>
        <v>2</v>
      </c>
      <c r="J14" s="48">
        <f ca="1">IFERROR(VLOOKUP($A14,ClassGrupFases!$C$15:$Q$22,9,FALSE),"")</f>
        <v>9</v>
      </c>
      <c r="K14" s="48">
        <f ca="1">IFERROR(VLOOKUP($A14,ClassGrupFases!$C$15:$Q$22,10,FALSE),"")</f>
        <v>7</v>
      </c>
      <c r="L14" s="48">
        <f ca="1">IFERROR(VLOOKUP($A14,ClassGrupFases!$C$15:$Q$22,11,FALSE),"")</f>
        <v>2</v>
      </c>
      <c r="M14" s="40">
        <f ca="1">IFERROR(VLOOKUP($A14,ClassGrupFases!$C$15:$Q$22,1,FALSE),"")</f>
        <v>2</v>
      </c>
    </row>
    <row r="15" spans="1:13" x14ac:dyDescent="0.3">
      <c r="A15" s="36">
        <v>3</v>
      </c>
      <c r="B15" s="45">
        <f ca="1">IFERROR(VLOOKUP($A15,ClassGrupFases!$C$15:$Q$22,15,FALSE),"")</f>
        <v>3</v>
      </c>
      <c r="C15" s="46" t="str">
        <f ca="1">IFERROR(VLOOKUP($A15,ClassGrupFases!$C$15:$Q$22,2,FALSE),"")</f>
        <v>Capela SC</v>
      </c>
      <c r="D15" s="47">
        <f ca="1">IFERROR(VLOOKUP($A15,ClassGrupFases!$C$15:$Q$22,3,FALSE),"")</f>
        <v>0.55555555555555558</v>
      </c>
      <c r="E15" s="48">
        <f ca="1">IFERROR(VLOOKUP($A15,ClassGrupFases!$C$15:$Q$22,4,FALSE),"")</f>
        <v>10</v>
      </c>
      <c r="F15" s="48">
        <f ca="1">IFERROR(VLOOKUP($A15,ClassGrupFases!$C$15:$Q$22,5,FALSE),"")</f>
        <v>6</v>
      </c>
      <c r="G15" s="48">
        <f ca="1">IFERROR(VLOOKUP($A15,ClassGrupFases!$C$15:$Q$22,6,FALSE),"")</f>
        <v>3</v>
      </c>
      <c r="H15" s="48">
        <f ca="1">IFERROR(VLOOKUP($A15,ClassGrupFases!$C$15:$Q$22,7,FALSE),"")</f>
        <v>1</v>
      </c>
      <c r="I15" s="48">
        <f ca="1">IFERROR(VLOOKUP($A15,ClassGrupFases!$C$15:$Q$22,8,FALSE),"")</f>
        <v>2</v>
      </c>
      <c r="J15" s="48">
        <f ca="1">IFERROR(VLOOKUP($A15,ClassGrupFases!$C$15:$Q$22,9,FALSE),"")</f>
        <v>11</v>
      </c>
      <c r="K15" s="48">
        <f ca="1">IFERROR(VLOOKUP($A15,ClassGrupFases!$C$15:$Q$22,10,FALSE),"")</f>
        <v>6</v>
      </c>
      <c r="L15" s="48">
        <f ca="1">IFERROR(VLOOKUP($A15,ClassGrupFases!$C$15:$Q$22,11,FALSE),"")</f>
        <v>5</v>
      </c>
      <c r="M15" s="40">
        <f ca="1">IFERROR(VLOOKUP($A15,ClassGrupFases!$C$15:$Q$22,1,FALSE),"")</f>
        <v>3</v>
      </c>
    </row>
    <row r="16" spans="1:13" x14ac:dyDescent="0.3">
      <c r="A16" s="36">
        <v>4</v>
      </c>
      <c r="B16" s="45">
        <f ca="1">IFERROR(VLOOKUP($A16,ClassGrupFases!$C$15:$Q$22,15,FALSE),"")</f>
        <v>4</v>
      </c>
      <c r="C16" s="46" t="str">
        <f ca="1">IFERROR(VLOOKUP($A16,ClassGrupFases!$C$15:$Q$22,2,FALSE),"")</f>
        <v>Marcelinho RJ</v>
      </c>
      <c r="D16" s="47">
        <f ca="1">IFERROR(VLOOKUP($A16,ClassGrupFases!$C$15:$Q$22,3,FALSE),"")</f>
        <v>0.5</v>
      </c>
      <c r="E16" s="48">
        <f ca="1">IFERROR(VLOOKUP($A16,ClassGrupFases!$C$15:$Q$22,4,FALSE),"")</f>
        <v>9</v>
      </c>
      <c r="F16" s="48">
        <f ca="1">IFERROR(VLOOKUP($A16,ClassGrupFases!$C$15:$Q$22,5,FALSE),"")</f>
        <v>6</v>
      </c>
      <c r="G16" s="48">
        <f ca="1">IFERROR(VLOOKUP($A16,ClassGrupFases!$C$15:$Q$22,6,FALSE),"")</f>
        <v>3</v>
      </c>
      <c r="H16" s="48">
        <f ca="1">IFERROR(VLOOKUP($A16,ClassGrupFases!$C$15:$Q$22,7,FALSE),"")</f>
        <v>0</v>
      </c>
      <c r="I16" s="48">
        <f ca="1">IFERROR(VLOOKUP($A16,ClassGrupFases!$C$15:$Q$22,8,FALSE),"")</f>
        <v>3</v>
      </c>
      <c r="J16" s="48">
        <f ca="1">IFERROR(VLOOKUP($A16,ClassGrupFases!$C$15:$Q$22,9,FALSE),"")</f>
        <v>11</v>
      </c>
      <c r="K16" s="48">
        <f ca="1">IFERROR(VLOOKUP($A16,ClassGrupFases!$C$15:$Q$22,10,FALSE),"")</f>
        <v>10</v>
      </c>
      <c r="L16" s="48">
        <f ca="1">IFERROR(VLOOKUP($A16,ClassGrupFases!$C$15:$Q$22,11,FALSE),"")</f>
        <v>1</v>
      </c>
      <c r="M16" s="40">
        <f ca="1">IFERROR(VLOOKUP($A16,ClassGrupFases!$C$15:$Q$22,1,FALSE),"")</f>
        <v>4</v>
      </c>
    </row>
    <row r="17" spans="1:13" x14ac:dyDescent="0.3">
      <c r="A17" s="36">
        <v>5</v>
      </c>
      <c r="B17" s="45">
        <f ca="1">IFERROR(VLOOKUP($A17,ClassGrupFases!$C$15:$Q$22,15,FALSE),"")</f>
        <v>5</v>
      </c>
      <c r="C17" s="46" t="str">
        <f ca="1">IFERROR(VLOOKUP($A17,ClassGrupFases!$C$15:$Q$22,2,FALSE),"")</f>
        <v>Diogo SP</v>
      </c>
      <c r="D17" s="47">
        <f ca="1">IFERROR(VLOOKUP($A17,ClassGrupFases!$C$15:$Q$22,3,FALSE),"")</f>
        <v>0.33333333333333331</v>
      </c>
      <c r="E17" s="48">
        <f ca="1">IFERROR(VLOOKUP($A17,ClassGrupFases!$C$15:$Q$22,4,FALSE),"")</f>
        <v>6</v>
      </c>
      <c r="F17" s="48">
        <f ca="1">IFERROR(VLOOKUP($A17,ClassGrupFases!$C$15:$Q$22,5,FALSE),"")</f>
        <v>6</v>
      </c>
      <c r="G17" s="48">
        <f ca="1">IFERROR(VLOOKUP($A17,ClassGrupFases!$C$15:$Q$22,6,FALSE),"")</f>
        <v>2</v>
      </c>
      <c r="H17" s="48">
        <f ca="1">IFERROR(VLOOKUP($A17,ClassGrupFases!$C$15:$Q$22,7,FALSE),"")</f>
        <v>0</v>
      </c>
      <c r="I17" s="48">
        <f ca="1">IFERROR(VLOOKUP($A17,ClassGrupFases!$C$15:$Q$22,8,FALSE),"")</f>
        <v>4</v>
      </c>
      <c r="J17" s="48">
        <f ca="1">IFERROR(VLOOKUP($A17,ClassGrupFases!$C$15:$Q$22,9,FALSE),"")</f>
        <v>10</v>
      </c>
      <c r="K17" s="48">
        <f ca="1">IFERROR(VLOOKUP($A17,ClassGrupFases!$C$15:$Q$22,10,FALSE),"")</f>
        <v>13</v>
      </c>
      <c r="L17" s="48">
        <f ca="1">IFERROR(VLOOKUP($A17,ClassGrupFases!$C$15:$Q$22,11,FALSE),"")</f>
        <v>-3</v>
      </c>
      <c r="M17" s="40">
        <f ca="1">IFERROR(VLOOKUP($A17,ClassGrupFases!$C$15:$Q$22,1,FALSE),"")</f>
        <v>5</v>
      </c>
    </row>
    <row r="18" spans="1:13" x14ac:dyDescent="0.3">
      <c r="A18" s="36">
        <v>6</v>
      </c>
      <c r="B18" s="45">
        <f ca="1">IFERROR(VLOOKUP($A18,ClassGrupFases!$C$15:$Q$22,15,FALSE),"")</f>
        <v>6</v>
      </c>
      <c r="C18" s="46" t="str">
        <f ca="1">IFERROR(VLOOKUP($A18,ClassGrupFases!$C$15:$Q$22,2,FALSE),"")</f>
        <v>Ronaldo Eifler RS</v>
      </c>
      <c r="D18" s="47">
        <f ca="1">IFERROR(VLOOKUP($A18,ClassGrupFases!$C$15:$Q$22,3,FALSE),"")</f>
        <v>0.33333333333333331</v>
      </c>
      <c r="E18" s="48">
        <f ca="1">IFERROR(VLOOKUP($A18,ClassGrupFases!$C$15:$Q$22,4,FALSE),"")</f>
        <v>6</v>
      </c>
      <c r="F18" s="48">
        <f ca="1">IFERROR(VLOOKUP($A18,ClassGrupFases!$C$15:$Q$22,5,FALSE),"")</f>
        <v>6</v>
      </c>
      <c r="G18" s="48">
        <f ca="1">IFERROR(VLOOKUP($A18,ClassGrupFases!$C$15:$Q$22,6,FALSE),"")</f>
        <v>2</v>
      </c>
      <c r="H18" s="48">
        <f ca="1">IFERROR(VLOOKUP($A18,ClassGrupFases!$C$15:$Q$22,7,FALSE),"")</f>
        <v>0</v>
      </c>
      <c r="I18" s="48">
        <f ca="1">IFERROR(VLOOKUP($A18,ClassGrupFases!$C$15:$Q$22,8,FALSE),"")</f>
        <v>4</v>
      </c>
      <c r="J18" s="48">
        <f ca="1">IFERROR(VLOOKUP($A18,ClassGrupFases!$C$15:$Q$22,9,FALSE),"")</f>
        <v>7</v>
      </c>
      <c r="K18" s="48">
        <f ca="1">IFERROR(VLOOKUP($A18,ClassGrupFases!$C$15:$Q$22,10,FALSE),"")</f>
        <v>14</v>
      </c>
      <c r="L18" s="48">
        <f ca="1">IFERROR(VLOOKUP($A18,ClassGrupFases!$C$15:$Q$22,11,FALSE),"")</f>
        <v>-7</v>
      </c>
      <c r="M18" s="40">
        <f ca="1">IFERROR(VLOOKUP($A18,ClassGrupFases!$C$15:$Q$22,1,FALSE),"")</f>
        <v>6</v>
      </c>
    </row>
    <row r="19" spans="1:13" x14ac:dyDescent="0.3">
      <c r="A19" s="36">
        <v>7</v>
      </c>
      <c r="B19" s="49">
        <f ca="1">IFERROR(VLOOKUP($A19,ClassGrupFases!$C$15:$Q$22,15,FALSE),"")</f>
        <v>7</v>
      </c>
      <c r="C19" s="50" t="str">
        <f ca="1">IFERROR(VLOOKUP($A19,ClassGrupFases!$C$15:$Q$22,2,FALSE),"")</f>
        <v>Eduardo Massa MG</v>
      </c>
      <c r="D19" s="51">
        <f ca="1">IFERROR(VLOOKUP($A19,ClassGrupFases!$C$15:$Q$22,3,FALSE),"")</f>
        <v>0.27777777777777779</v>
      </c>
      <c r="E19" s="52">
        <f ca="1">IFERROR(VLOOKUP($A19,ClassGrupFases!$C$15:$Q$22,4,FALSE),"")</f>
        <v>5</v>
      </c>
      <c r="F19" s="52">
        <f ca="1">IFERROR(VLOOKUP($A19,ClassGrupFases!$C$15:$Q$22,5,FALSE),"")</f>
        <v>6</v>
      </c>
      <c r="G19" s="52">
        <f ca="1">IFERROR(VLOOKUP($A19,ClassGrupFases!$C$15:$Q$22,6,FALSE),"")</f>
        <v>1</v>
      </c>
      <c r="H19" s="52">
        <f ca="1">IFERROR(VLOOKUP($A19,ClassGrupFases!$C$15:$Q$22,7,FALSE),"")</f>
        <v>2</v>
      </c>
      <c r="I19" s="52">
        <f ca="1">IFERROR(VLOOKUP($A19,ClassGrupFases!$C$15:$Q$22,8,FALSE),"")</f>
        <v>3</v>
      </c>
      <c r="J19" s="52">
        <f ca="1">IFERROR(VLOOKUP($A19,ClassGrupFases!$C$15:$Q$22,9,FALSE),"")</f>
        <v>7</v>
      </c>
      <c r="K19" s="52">
        <f ca="1">IFERROR(VLOOKUP($A19,ClassGrupFases!$C$15:$Q$22,10,FALSE),"")</f>
        <v>12</v>
      </c>
      <c r="L19" s="52">
        <f ca="1">IFERROR(VLOOKUP($A19,ClassGrupFases!$C$15:$Q$22,11,FALSE),"")</f>
        <v>-5</v>
      </c>
      <c r="M19" s="40">
        <f ca="1">IFERROR(VLOOKUP($A19,ClassGrupFases!$C$15:$Q$22,1,FALSE),"")</f>
        <v>7</v>
      </c>
    </row>
    <row r="21" spans="1:13" x14ac:dyDescent="0.3">
      <c r="B21" s="42" t="s">
        <v>26</v>
      </c>
      <c r="C21" s="43" t="s">
        <v>37</v>
      </c>
      <c r="D21" s="44" t="s">
        <v>38</v>
      </c>
      <c r="E21" s="44" t="s">
        <v>39</v>
      </c>
      <c r="F21" s="44" t="s">
        <v>15</v>
      </c>
      <c r="G21" s="44" t="s">
        <v>16</v>
      </c>
      <c r="H21" s="44" t="s">
        <v>17</v>
      </c>
      <c r="I21" s="44" t="s">
        <v>18</v>
      </c>
      <c r="J21" s="44" t="s">
        <v>40</v>
      </c>
      <c r="K21" s="44" t="s">
        <v>41</v>
      </c>
      <c r="L21" s="44" t="s">
        <v>42</v>
      </c>
    </row>
    <row r="22" spans="1:13" x14ac:dyDescent="0.3">
      <c r="A22" s="36">
        <v>1</v>
      </c>
      <c r="B22" s="45">
        <f ca="1">IFERROR(VLOOKUP($A22,ClassGrupFases!$C$24:$Q$31,15,FALSE),"")</f>
        <v>1</v>
      </c>
      <c r="C22" s="46" t="str">
        <f ca="1">IFERROR(VLOOKUP($A22,ClassGrupFases!$C$24:$Q$31,2,FALSE),"")</f>
        <v>Claudio Jr MG</v>
      </c>
      <c r="D22" s="47">
        <f ca="1">IFERROR(VLOOKUP($A22,ClassGrupFases!$C$24:$Q$31,3,FALSE),"")</f>
        <v>0.83333333333333337</v>
      </c>
      <c r="E22" s="48">
        <f ca="1">IFERROR(VLOOKUP($A22,ClassGrupFases!$C$24:$Q$31,4,FALSE),"")</f>
        <v>15</v>
      </c>
      <c r="F22" s="48">
        <f ca="1">IFERROR(VLOOKUP($A22,ClassGrupFases!$C$24:$Q$31,5,FALSE),"")</f>
        <v>6</v>
      </c>
      <c r="G22" s="48">
        <f ca="1">IFERROR(VLOOKUP($A22,ClassGrupFases!$C$24:$Q$31,6,FALSE),"")</f>
        <v>5</v>
      </c>
      <c r="H22" s="48">
        <f ca="1">IFERROR(VLOOKUP($A22,ClassGrupFases!$C$24:$Q$31,7,FALSE),"")</f>
        <v>0</v>
      </c>
      <c r="I22" s="48">
        <f ca="1">IFERROR(VLOOKUP($A22,ClassGrupFases!$C$24:$Q$31,8,FALSE),"")</f>
        <v>1</v>
      </c>
      <c r="J22" s="48">
        <f ca="1">IFERROR(VLOOKUP($A22,ClassGrupFases!$C$24:$Q$31,9,FALSE),"")</f>
        <v>14</v>
      </c>
      <c r="K22" s="48">
        <f ca="1">IFERROR(VLOOKUP($A22,ClassGrupFases!$C$24:$Q$31,10,FALSE),"")</f>
        <v>5</v>
      </c>
      <c r="L22" s="48">
        <f ca="1">IFERROR(VLOOKUP($A22,ClassGrupFases!$C$24:$Q$31,11,FALSE),"")</f>
        <v>9</v>
      </c>
      <c r="M22" s="40">
        <f ca="1">IFERROR(VLOOKUP($A22,ClassGrupFases!$C$24:$Q$31,1,FALSE),"")</f>
        <v>1</v>
      </c>
    </row>
    <row r="23" spans="1:13" x14ac:dyDescent="0.3">
      <c r="A23" s="36">
        <v>2</v>
      </c>
      <c r="B23" s="45">
        <f ca="1">IFERROR(VLOOKUP($A23,ClassGrupFases!$C$24:$Q$31,15,FALSE),"")</f>
        <v>2</v>
      </c>
      <c r="C23" s="46" t="str">
        <f ca="1">IFERROR(VLOOKUP($A23,ClassGrupFases!$C$24:$Q$31,2,FALSE),"")</f>
        <v>Almo PR</v>
      </c>
      <c r="D23" s="47">
        <f ca="1">IFERROR(VLOOKUP($A23,ClassGrupFases!$C$24:$Q$31,3,FALSE),"")</f>
        <v>0.83333333333333337</v>
      </c>
      <c r="E23" s="48">
        <f ca="1">IFERROR(VLOOKUP($A23,ClassGrupFases!$C$24:$Q$31,4,FALSE),"")</f>
        <v>15</v>
      </c>
      <c r="F23" s="48">
        <f ca="1">IFERROR(VLOOKUP($A23,ClassGrupFases!$C$24:$Q$31,5,FALSE),"")</f>
        <v>6</v>
      </c>
      <c r="G23" s="48">
        <f ca="1">IFERROR(VLOOKUP($A23,ClassGrupFases!$C$24:$Q$31,6,FALSE),"")</f>
        <v>5</v>
      </c>
      <c r="H23" s="48">
        <f ca="1">IFERROR(VLOOKUP($A23,ClassGrupFases!$C$24:$Q$31,7,FALSE),"")</f>
        <v>0</v>
      </c>
      <c r="I23" s="48">
        <f ca="1">IFERROR(VLOOKUP($A23,ClassGrupFases!$C$24:$Q$31,8,FALSE),"")</f>
        <v>1</v>
      </c>
      <c r="J23" s="48">
        <f ca="1">IFERROR(VLOOKUP($A23,ClassGrupFases!$C$24:$Q$31,9,FALSE),"")</f>
        <v>15</v>
      </c>
      <c r="K23" s="48">
        <f ca="1">IFERROR(VLOOKUP($A23,ClassGrupFases!$C$24:$Q$31,10,FALSE),"")</f>
        <v>8</v>
      </c>
      <c r="L23" s="48">
        <f ca="1">IFERROR(VLOOKUP($A23,ClassGrupFases!$C$24:$Q$31,11,FALSE),"")</f>
        <v>7</v>
      </c>
      <c r="M23" s="40">
        <f ca="1">IFERROR(VLOOKUP($A23,ClassGrupFases!$C$24:$Q$31,1,FALSE),"")</f>
        <v>2</v>
      </c>
    </row>
    <row r="24" spans="1:13" x14ac:dyDescent="0.3">
      <c r="A24" s="36">
        <v>3</v>
      </c>
      <c r="B24" s="45">
        <f ca="1">IFERROR(VLOOKUP($A24,ClassGrupFases!$C$24:$Q$31,15,FALSE),"")</f>
        <v>3</v>
      </c>
      <c r="C24" s="46" t="str">
        <f ca="1">IFERROR(VLOOKUP($A24,ClassGrupFases!$C$24:$Q$31,2,FALSE),"")</f>
        <v>Afonso SP</v>
      </c>
      <c r="D24" s="47">
        <f ca="1">IFERROR(VLOOKUP($A24,ClassGrupFases!$C$24:$Q$31,3,FALSE),"")</f>
        <v>0.66666666666666663</v>
      </c>
      <c r="E24" s="48">
        <f ca="1">IFERROR(VLOOKUP($A24,ClassGrupFases!$C$24:$Q$31,4,FALSE),"")</f>
        <v>12</v>
      </c>
      <c r="F24" s="48">
        <f ca="1">IFERROR(VLOOKUP($A24,ClassGrupFases!$C$24:$Q$31,5,FALSE),"")</f>
        <v>6</v>
      </c>
      <c r="G24" s="48">
        <f ca="1">IFERROR(VLOOKUP($A24,ClassGrupFases!$C$24:$Q$31,6,FALSE),"")</f>
        <v>4</v>
      </c>
      <c r="H24" s="48">
        <f ca="1">IFERROR(VLOOKUP($A24,ClassGrupFases!$C$24:$Q$31,7,FALSE),"")</f>
        <v>0</v>
      </c>
      <c r="I24" s="48">
        <f ca="1">IFERROR(VLOOKUP($A24,ClassGrupFases!$C$24:$Q$31,8,FALSE),"")</f>
        <v>2</v>
      </c>
      <c r="J24" s="48">
        <f ca="1">IFERROR(VLOOKUP($A24,ClassGrupFases!$C$24:$Q$31,9,FALSE),"")</f>
        <v>13</v>
      </c>
      <c r="K24" s="48">
        <f ca="1">IFERROR(VLOOKUP($A24,ClassGrupFases!$C$24:$Q$31,10,FALSE),"")</f>
        <v>9</v>
      </c>
      <c r="L24" s="48">
        <f ca="1">IFERROR(VLOOKUP($A24,ClassGrupFases!$C$24:$Q$31,11,FALSE),"")</f>
        <v>4</v>
      </c>
      <c r="M24" s="40">
        <f ca="1">IFERROR(VLOOKUP($A24,ClassGrupFases!$C$24:$Q$31,1,FALSE),"")</f>
        <v>3</v>
      </c>
    </row>
    <row r="25" spans="1:13" x14ac:dyDescent="0.3">
      <c r="A25" s="36">
        <v>4</v>
      </c>
      <c r="B25" s="45">
        <f ca="1">IFERROR(VLOOKUP($A25,ClassGrupFases!$C$24:$Q$31,15,FALSE),"")</f>
        <v>4</v>
      </c>
      <c r="C25" s="46" t="str">
        <f ca="1">IFERROR(VLOOKUP($A25,ClassGrupFases!$C$24:$Q$31,2,FALSE),"")</f>
        <v>Kaka RJ</v>
      </c>
      <c r="D25" s="47">
        <f ca="1">IFERROR(VLOOKUP($A25,ClassGrupFases!$C$24:$Q$31,3,FALSE),"")</f>
        <v>0.66666666666666663</v>
      </c>
      <c r="E25" s="48">
        <f ca="1">IFERROR(VLOOKUP($A25,ClassGrupFases!$C$24:$Q$31,4,FALSE),"")</f>
        <v>12</v>
      </c>
      <c r="F25" s="48">
        <f ca="1">IFERROR(VLOOKUP($A25,ClassGrupFases!$C$24:$Q$31,5,FALSE),"")</f>
        <v>6</v>
      </c>
      <c r="G25" s="48">
        <f ca="1">IFERROR(VLOOKUP($A25,ClassGrupFases!$C$24:$Q$31,6,FALSE),"")</f>
        <v>4</v>
      </c>
      <c r="H25" s="48">
        <f ca="1">IFERROR(VLOOKUP($A25,ClassGrupFases!$C$24:$Q$31,7,FALSE),"")</f>
        <v>0</v>
      </c>
      <c r="I25" s="48">
        <f ca="1">IFERROR(VLOOKUP($A25,ClassGrupFases!$C$24:$Q$31,8,FALSE),"")</f>
        <v>2</v>
      </c>
      <c r="J25" s="48">
        <f ca="1">IFERROR(VLOOKUP($A25,ClassGrupFases!$C$24:$Q$31,9,FALSE),"")</f>
        <v>13</v>
      </c>
      <c r="K25" s="48">
        <f ca="1">IFERROR(VLOOKUP($A25,ClassGrupFases!$C$24:$Q$31,10,FALSE),"")</f>
        <v>11</v>
      </c>
      <c r="L25" s="48">
        <f ca="1">IFERROR(VLOOKUP($A25,ClassGrupFases!$C$24:$Q$31,11,FALSE),"")</f>
        <v>2</v>
      </c>
      <c r="M25" s="40">
        <f ca="1">IFERROR(VLOOKUP($A25,ClassGrupFases!$C$24:$Q$31,1,FALSE),"")</f>
        <v>4</v>
      </c>
    </row>
    <row r="26" spans="1:13" x14ac:dyDescent="0.3">
      <c r="A26" s="36">
        <v>5</v>
      </c>
      <c r="B26" s="45">
        <f ca="1">IFERROR(VLOOKUP($A26,ClassGrupFases!$C$24:$Q$31,15,FALSE),"")</f>
        <v>5</v>
      </c>
      <c r="C26" s="46" t="str">
        <f ca="1">IFERROR(VLOOKUP($A26,ClassGrupFases!$C$24:$Q$31,2,FALSE),"")</f>
        <v>Cléo Jr SP</v>
      </c>
      <c r="D26" s="47">
        <f ca="1">IFERROR(VLOOKUP($A26,ClassGrupFases!$C$24:$Q$31,3,FALSE),"")</f>
        <v>0.33333333333333331</v>
      </c>
      <c r="E26" s="48">
        <f ca="1">IFERROR(VLOOKUP($A26,ClassGrupFases!$C$24:$Q$31,4,FALSE),"")</f>
        <v>6</v>
      </c>
      <c r="F26" s="48">
        <f ca="1">IFERROR(VLOOKUP($A26,ClassGrupFases!$C$24:$Q$31,5,FALSE),"")</f>
        <v>6</v>
      </c>
      <c r="G26" s="48">
        <f ca="1">IFERROR(VLOOKUP($A26,ClassGrupFases!$C$24:$Q$31,6,FALSE),"")</f>
        <v>2</v>
      </c>
      <c r="H26" s="48">
        <f ca="1">IFERROR(VLOOKUP($A26,ClassGrupFases!$C$24:$Q$31,7,FALSE),"")</f>
        <v>0</v>
      </c>
      <c r="I26" s="48">
        <f ca="1">IFERROR(VLOOKUP($A26,ClassGrupFases!$C$24:$Q$31,8,FALSE),"")</f>
        <v>4</v>
      </c>
      <c r="J26" s="48">
        <f ca="1">IFERROR(VLOOKUP($A26,ClassGrupFases!$C$24:$Q$31,9,FALSE),"")</f>
        <v>7</v>
      </c>
      <c r="K26" s="48">
        <f ca="1">IFERROR(VLOOKUP($A26,ClassGrupFases!$C$24:$Q$31,10,FALSE),"")</f>
        <v>12</v>
      </c>
      <c r="L26" s="48">
        <f ca="1">IFERROR(VLOOKUP($A26,ClassGrupFases!$C$24:$Q$31,11,FALSE),"")</f>
        <v>-5</v>
      </c>
      <c r="M26" s="40">
        <f ca="1">IFERROR(VLOOKUP($A26,ClassGrupFases!$C$24:$Q$31,1,FALSE),"")</f>
        <v>5</v>
      </c>
    </row>
    <row r="27" spans="1:13" x14ac:dyDescent="0.3">
      <c r="A27" s="36">
        <v>6</v>
      </c>
      <c r="B27" s="45">
        <f ca="1">IFERROR(VLOOKUP($A27,ClassGrupFases!$C$24:$Q$31,15,FALSE),"")</f>
        <v>6</v>
      </c>
      <c r="C27" s="46" t="str">
        <f ca="1">IFERROR(VLOOKUP($A27,ClassGrupFases!$C$24:$Q$31,2,FALSE),"")</f>
        <v>Justa SP</v>
      </c>
      <c r="D27" s="47">
        <f ca="1">IFERROR(VLOOKUP($A27,ClassGrupFases!$C$24:$Q$31,3,FALSE),"")</f>
        <v>0.16666666666666666</v>
      </c>
      <c r="E27" s="48">
        <f ca="1">IFERROR(VLOOKUP($A27,ClassGrupFases!$C$24:$Q$31,4,FALSE),"")</f>
        <v>3</v>
      </c>
      <c r="F27" s="48">
        <f ca="1">IFERROR(VLOOKUP($A27,ClassGrupFases!$C$24:$Q$31,5,FALSE),"")</f>
        <v>6</v>
      </c>
      <c r="G27" s="48">
        <f ca="1">IFERROR(VLOOKUP($A27,ClassGrupFases!$C$24:$Q$31,6,FALSE),"")</f>
        <v>1</v>
      </c>
      <c r="H27" s="48">
        <f ca="1">IFERROR(VLOOKUP($A27,ClassGrupFases!$C$24:$Q$31,7,FALSE),"")</f>
        <v>0</v>
      </c>
      <c r="I27" s="48">
        <f ca="1">IFERROR(VLOOKUP($A27,ClassGrupFases!$C$24:$Q$31,8,FALSE),"")</f>
        <v>5</v>
      </c>
      <c r="J27" s="48">
        <f ca="1">IFERROR(VLOOKUP($A27,ClassGrupFases!$C$24:$Q$31,9,FALSE),"")</f>
        <v>5</v>
      </c>
      <c r="K27" s="48">
        <f ca="1">IFERROR(VLOOKUP($A27,ClassGrupFases!$C$24:$Q$31,10,FALSE),"")</f>
        <v>12</v>
      </c>
      <c r="L27" s="48">
        <f ca="1">IFERROR(VLOOKUP($A27,ClassGrupFases!$C$24:$Q$31,11,FALSE),"")</f>
        <v>-7</v>
      </c>
      <c r="M27" s="40">
        <f ca="1">IFERROR(VLOOKUP($A27,ClassGrupFases!$C$24:$Q$31,1,FALSE),"")</f>
        <v>6</v>
      </c>
    </row>
    <row r="28" spans="1:13" x14ac:dyDescent="0.3">
      <c r="A28" s="36">
        <v>7</v>
      </c>
      <c r="B28" s="49">
        <f ca="1">IFERROR(VLOOKUP($A28,ClassGrupFases!$C$24:$Q$31,15,FALSE),"")</f>
        <v>7</v>
      </c>
      <c r="C28" s="50" t="str">
        <f ca="1">IFERROR(VLOOKUP($A28,ClassGrupFases!$C$24:$Q$31,2,FALSE),"")</f>
        <v>Luiz Coelho SP</v>
      </c>
      <c r="D28" s="51">
        <f ca="1">IFERROR(VLOOKUP($A28,ClassGrupFases!$C$24:$Q$31,3,FALSE),"")</f>
        <v>0</v>
      </c>
      <c r="E28" s="52">
        <f ca="1">IFERROR(VLOOKUP($A28,ClassGrupFases!$C$24:$Q$31,4,FALSE),"")</f>
        <v>0</v>
      </c>
      <c r="F28" s="52">
        <f ca="1">IFERROR(VLOOKUP($A28,ClassGrupFases!$C$24:$Q$31,5,FALSE),"")</f>
        <v>6</v>
      </c>
      <c r="G28" s="52">
        <f ca="1">IFERROR(VLOOKUP($A28,ClassGrupFases!$C$24:$Q$31,6,FALSE),"")</f>
        <v>0</v>
      </c>
      <c r="H28" s="52">
        <f ca="1">IFERROR(VLOOKUP($A28,ClassGrupFases!$C$24:$Q$31,7,FALSE),"")</f>
        <v>0</v>
      </c>
      <c r="I28" s="52">
        <f ca="1">IFERROR(VLOOKUP($A28,ClassGrupFases!$C$24:$Q$31,8,FALSE),"")</f>
        <v>6</v>
      </c>
      <c r="J28" s="52">
        <f ca="1">IFERROR(VLOOKUP($A28,ClassGrupFases!$C$24:$Q$31,9,FALSE),"")</f>
        <v>0</v>
      </c>
      <c r="K28" s="52">
        <f ca="1">IFERROR(VLOOKUP($A28,ClassGrupFases!$C$24:$Q$31,10,FALSE),"")</f>
        <v>10</v>
      </c>
      <c r="L28" s="52">
        <f ca="1">IFERROR(VLOOKUP($A28,ClassGrupFases!$C$24:$Q$31,11,FALSE),"")</f>
        <v>-10</v>
      </c>
      <c r="M28" s="40">
        <f ca="1">IFERROR(VLOOKUP($A28,ClassGrupFases!$C$24:$Q$31,1,FALSE),"")</f>
        <v>7</v>
      </c>
    </row>
    <row r="30" spans="1:13" x14ac:dyDescent="0.3">
      <c r="B30" s="42" t="s">
        <v>18</v>
      </c>
      <c r="C30" s="43" t="s">
        <v>37</v>
      </c>
      <c r="D30" s="44" t="s">
        <v>38</v>
      </c>
      <c r="E30" s="44" t="s">
        <v>39</v>
      </c>
      <c r="F30" s="44" t="s">
        <v>15</v>
      </c>
      <c r="G30" s="44" t="s">
        <v>16</v>
      </c>
      <c r="H30" s="44" t="s">
        <v>17</v>
      </c>
      <c r="I30" s="44" t="s">
        <v>18</v>
      </c>
      <c r="J30" s="44" t="s">
        <v>40</v>
      </c>
      <c r="K30" s="44" t="s">
        <v>41</v>
      </c>
      <c r="L30" s="44" t="s">
        <v>42</v>
      </c>
    </row>
    <row r="31" spans="1:13" x14ac:dyDescent="0.3">
      <c r="A31" s="36">
        <v>1</v>
      </c>
      <c r="B31" s="45">
        <f ca="1">IFERROR(VLOOKUP($A31,ClassGrupFases!$C$33:$Q$40,15,FALSE),"")</f>
        <v>1</v>
      </c>
      <c r="C31" s="46" t="str">
        <f ca="1">IFERROR(VLOOKUP($A31,ClassGrupFases!$C$33:$Q$40,2,FALSE),"")</f>
        <v>Tabajara SP</v>
      </c>
      <c r="D31" s="47">
        <f ca="1">IFERROR(VLOOKUP($A31,ClassGrupFases!$C$33:$Q$40,3,FALSE),"")</f>
        <v>0.77777777777777779</v>
      </c>
      <c r="E31" s="48">
        <f ca="1">IFERROR(VLOOKUP($A31,ClassGrupFases!$C$33:$Q$40,4,FALSE),"")</f>
        <v>14</v>
      </c>
      <c r="F31" s="48">
        <f ca="1">IFERROR(VLOOKUP($A31,ClassGrupFases!$C$33:$Q$40,5,FALSE),"")</f>
        <v>6</v>
      </c>
      <c r="G31" s="48">
        <f ca="1">IFERROR(VLOOKUP($A31,ClassGrupFases!$C$33:$Q$40,6,FALSE),"")</f>
        <v>4</v>
      </c>
      <c r="H31" s="48">
        <f ca="1">IFERROR(VLOOKUP($A31,ClassGrupFases!$C$33:$Q$40,7,FALSE),"")</f>
        <v>2</v>
      </c>
      <c r="I31" s="48">
        <f ca="1">IFERROR(VLOOKUP($A31,ClassGrupFases!$C$33:$Q$40,8,FALSE),"")</f>
        <v>0</v>
      </c>
      <c r="J31" s="48">
        <f ca="1">IFERROR(VLOOKUP($A31,ClassGrupFases!$C$33:$Q$40,9,FALSE),"")</f>
        <v>13</v>
      </c>
      <c r="K31" s="48">
        <f ca="1">IFERROR(VLOOKUP($A31,ClassGrupFases!$C$33:$Q$40,10,FALSE),"")</f>
        <v>6</v>
      </c>
      <c r="L31" s="48">
        <f ca="1">IFERROR(VLOOKUP($A31,ClassGrupFases!$C$33:$Q$40,11,FALSE),"")</f>
        <v>7</v>
      </c>
      <c r="M31" s="40">
        <f ca="1">IFERROR(VLOOKUP($A31,ClassGrupFases!$C$33:$Q$40,1,FALSE),"")</f>
        <v>1</v>
      </c>
    </row>
    <row r="32" spans="1:13" x14ac:dyDescent="0.3">
      <c r="A32" s="36">
        <v>2</v>
      </c>
      <c r="B32" s="45">
        <f ca="1">IFERROR(VLOOKUP($A32,ClassGrupFases!$C$33:$Q$40,15,FALSE),"")</f>
        <v>2</v>
      </c>
      <c r="C32" s="46" t="str">
        <f ca="1">IFERROR(VLOOKUP($A32,ClassGrupFases!$C$33:$Q$40,2,FALSE),"")</f>
        <v>Israel RJ</v>
      </c>
      <c r="D32" s="47">
        <f ca="1">IFERROR(VLOOKUP($A32,ClassGrupFases!$C$33:$Q$40,3,FALSE),"")</f>
        <v>0.72222222222222221</v>
      </c>
      <c r="E32" s="48">
        <f ca="1">IFERROR(VLOOKUP($A32,ClassGrupFases!$C$33:$Q$40,4,FALSE),"")</f>
        <v>13</v>
      </c>
      <c r="F32" s="48">
        <f ca="1">IFERROR(VLOOKUP($A32,ClassGrupFases!$C$33:$Q$40,5,FALSE),"")</f>
        <v>6</v>
      </c>
      <c r="G32" s="48">
        <f ca="1">IFERROR(VLOOKUP($A32,ClassGrupFases!$C$33:$Q$40,6,FALSE),"")</f>
        <v>4</v>
      </c>
      <c r="H32" s="48">
        <f ca="1">IFERROR(VLOOKUP($A32,ClassGrupFases!$C$33:$Q$40,7,FALSE),"")</f>
        <v>1</v>
      </c>
      <c r="I32" s="48">
        <f ca="1">IFERROR(VLOOKUP($A32,ClassGrupFases!$C$33:$Q$40,8,FALSE),"")</f>
        <v>1</v>
      </c>
      <c r="J32" s="48">
        <f ca="1">IFERROR(VLOOKUP($A32,ClassGrupFases!$C$33:$Q$40,9,FALSE),"")</f>
        <v>14</v>
      </c>
      <c r="K32" s="48">
        <f ca="1">IFERROR(VLOOKUP($A32,ClassGrupFases!$C$33:$Q$40,10,FALSE),"")</f>
        <v>8</v>
      </c>
      <c r="L32" s="48">
        <f ca="1">IFERROR(VLOOKUP($A32,ClassGrupFases!$C$33:$Q$40,11,FALSE),"")</f>
        <v>6</v>
      </c>
      <c r="M32" s="40">
        <f ca="1">IFERROR(VLOOKUP($A32,ClassGrupFases!$C$33:$Q$40,1,FALSE),"")</f>
        <v>2</v>
      </c>
    </row>
    <row r="33" spans="1:13" x14ac:dyDescent="0.3">
      <c r="A33" s="36">
        <v>3</v>
      </c>
      <c r="B33" s="45">
        <f ca="1">IFERROR(VLOOKUP($A33,ClassGrupFases!$C$33:$Q$40,15,FALSE),"")</f>
        <v>3</v>
      </c>
      <c r="C33" s="46" t="str">
        <f ca="1">IFERROR(VLOOKUP($A33,ClassGrupFases!$C$33:$Q$40,2,FALSE),"")</f>
        <v>Renato Souza MG</v>
      </c>
      <c r="D33" s="47">
        <f ca="1">IFERROR(VLOOKUP($A33,ClassGrupFases!$C$33:$Q$40,3,FALSE),"")</f>
        <v>0.5</v>
      </c>
      <c r="E33" s="48">
        <f ca="1">IFERROR(VLOOKUP($A33,ClassGrupFases!$C$33:$Q$40,4,FALSE),"")</f>
        <v>9</v>
      </c>
      <c r="F33" s="48">
        <f ca="1">IFERROR(VLOOKUP($A33,ClassGrupFases!$C$33:$Q$40,5,FALSE),"")</f>
        <v>6</v>
      </c>
      <c r="G33" s="48">
        <f ca="1">IFERROR(VLOOKUP($A33,ClassGrupFases!$C$33:$Q$40,6,FALSE),"")</f>
        <v>3</v>
      </c>
      <c r="H33" s="48">
        <f ca="1">IFERROR(VLOOKUP($A33,ClassGrupFases!$C$33:$Q$40,7,FALSE),"")</f>
        <v>0</v>
      </c>
      <c r="I33" s="48">
        <f ca="1">IFERROR(VLOOKUP($A33,ClassGrupFases!$C$33:$Q$40,8,FALSE),"")</f>
        <v>3</v>
      </c>
      <c r="J33" s="48">
        <f ca="1">IFERROR(VLOOKUP($A33,ClassGrupFases!$C$33:$Q$40,9,FALSE),"")</f>
        <v>10</v>
      </c>
      <c r="K33" s="48">
        <f ca="1">IFERROR(VLOOKUP($A33,ClassGrupFases!$C$33:$Q$40,10,FALSE),"")</f>
        <v>7</v>
      </c>
      <c r="L33" s="48">
        <f ca="1">IFERROR(VLOOKUP($A33,ClassGrupFases!$C$33:$Q$40,11,FALSE),"")</f>
        <v>3</v>
      </c>
      <c r="M33" s="40">
        <f ca="1">IFERROR(VLOOKUP($A33,ClassGrupFases!$C$33:$Q$40,1,FALSE),"")</f>
        <v>3</v>
      </c>
    </row>
    <row r="34" spans="1:13" x14ac:dyDescent="0.3">
      <c r="A34" s="36">
        <v>4</v>
      </c>
      <c r="B34" s="45">
        <f ca="1">IFERROR(VLOOKUP($A34,ClassGrupFases!$C$33:$Q$40,15,FALSE),"")</f>
        <v>4</v>
      </c>
      <c r="C34" s="46" t="str">
        <f ca="1">IFERROR(VLOOKUP($A34,ClassGrupFases!$C$33:$Q$40,2,FALSE),"")</f>
        <v>João Paulo MG</v>
      </c>
      <c r="D34" s="47">
        <f ca="1">IFERROR(VLOOKUP($A34,ClassGrupFases!$C$33:$Q$40,3,FALSE),"")</f>
        <v>0.44444444444444442</v>
      </c>
      <c r="E34" s="48">
        <f ca="1">IFERROR(VLOOKUP($A34,ClassGrupFases!$C$33:$Q$40,4,FALSE),"")</f>
        <v>8</v>
      </c>
      <c r="F34" s="48">
        <f ca="1">IFERROR(VLOOKUP($A34,ClassGrupFases!$C$33:$Q$40,5,FALSE),"")</f>
        <v>6</v>
      </c>
      <c r="G34" s="48">
        <f ca="1">IFERROR(VLOOKUP($A34,ClassGrupFases!$C$33:$Q$40,6,FALSE),"")</f>
        <v>2</v>
      </c>
      <c r="H34" s="48">
        <f ca="1">IFERROR(VLOOKUP($A34,ClassGrupFases!$C$33:$Q$40,7,FALSE),"")</f>
        <v>2</v>
      </c>
      <c r="I34" s="48">
        <f ca="1">IFERROR(VLOOKUP($A34,ClassGrupFases!$C$33:$Q$40,8,FALSE),"")</f>
        <v>2</v>
      </c>
      <c r="J34" s="48">
        <f ca="1">IFERROR(VLOOKUP($A34,ClassGrupFases!$C$33:$Q$40,9,FALSE),"")</f>
        <v>9</v>
      </c>
      <c r="K34" s="48">
        <f ca="1">IFERROR(VLOOKUP($A34,ClassGrupFases!$C$33:$Q$40,10,FALSE),"")</f>
        <v>7</v>
      </c>
      <c r="L34" s="48">
        <f ca="1">IFERROR(VLOOKUP($A34,ClassGrupFases!$C$33:$Q$40,11,FALSE),"")</f>
        <v>2</v>
      </c>
      <c r="M34" s="40">
        <f ca="1">IFERROR(VLOOKUP($A34,ClassGrupFases!$C$33:$Q$40,1,FALSE),"")</f>
        <v>4</v>
      </c>
    </row>
    <row r="35" spans="1:13" x14ac:dyDescent="0.3">
      <c r="A35" s="36">
        <v>5</v>
      </c>
      <c r="B35" s="45">
        <f ca="1">IFERROR(VLOOKUP($A35,ClassGrupFases!$C$33:$Q$40,15,FALSE),"")</f>
        <v>5</v>
      </c>
      <c r="C35" s="46" t="str">
        <f ca="1">IFERROR(VLOOKUP($A35,ClassGrupFases!$C$33:$Q$40,2,FALSE),"")</f>
        <v>Claudio Mastrangelo RS</v>
      </c>
      <c r="D35" s="47">
        <f ca="1">IFERROR(VLOOKUP($A35,ClassGrupFases!$C$33:$Q$40,3,FALSE),"")</f>
        <v>0.3888888888888889</v>
      </c>
      <c r="E35" s="48">
        <f ca="1">IFERROR(VLOOKUP($A35,ClassGrupFases!$C$33:$Q$40,4,FALSE),"")</f>
        <v>7</v>
      </c>
      <c r="F35" s="48">
        <f ca="1">IFERROR(VLOOKUP($A35,ClassGrupFases!$C$33:$Q$40,5,FALSE),"")</f>
        <v>6</v>
      </c>
      <c r="G35" s="48">
        <f ca="1">IFERROR(VLOOKUP($A35,ClassGrupFases!$C$33:$Q$40,6,FALSE),"")</f>
        <v>2</v>
      </c>
      <c r="H35" s="48">
        <f ca="1">IFERROR(VLOOKUP($A35,ClassGrupFases!$C$33:$Q$40,7,FALSE),"")</f>
        <v>1</v>
      </c>
      <c r="I35" s="48">
        <f ca="1">IFERROR(VLOOKUP($A35,ClassGrupFases!$C$33:$Q$40,8,FALSE),"")</f>
        <v>3</v>
      </c>
      <c r="J35" s="48">
        <f ca="1">IFERROR(VLOOKUP($A35,ClassGrupFases!$C$33:$Q$40,9,FALSE),"")</f>
        <v>7</v>
      </c>
      <c r="K35" s="48">
        <f ca="1">IFERROR(VLOOKUP($A35,ClassGrupFases!$C$33:$Q$40,10,FALSE),"")</f>
        <v>10</v>
      </c>
      <c r="L35" s="48">
        <f ca="1">IFERROR(VLOOKUP($A35,ClassGrupFases!$C$33:$Q$40,11,FALSE),"")</f>
        <v>-3</v>
      </c>
      <c r="M35" s="40">
        <f ca="1">IFERROR(VLOOKUP($A35,ClassGrupFases!$C$33:$Q$40,1,FALSE),"")</f>
        <v>5</v>
      </c>
    </row>
    <row r="36" spans="1:13" x14ac:dyDescent="0.3">
      <c r="A36" s="36">
        <v>6</v>
      </c>
      <c r="B36" s="45">
        <f ca="1">IFERROR(VLOOKUP($A36,ClassGrupFases!$C$33:$Q$40,15,FALSE),"")</f>
        <v>6</v>
      </c>
      <c r="C36" s="46" t="str">
        <f ca="1">IFERROR(VLOOKUP($A36,ClassGrupFases!$C$33:$Q$40,2,FALSE),"")</f>
        <v>Alysson RJ</v>
      </c>
      <c r="D36" s="47">
        <f ca="1">IFERROR(VLOOKUP($A36,ClassGrupFases!$C$33:$Q$40,3,FALSE),"")</f>
        <v>0.33333333333333331</v>
      </c>
      <c r="E36" s="48">
        <f ca="1">IFERROR(VLOOKUP($A36,ClassGrupFases!$C$33:$Q$40,4,FALSE),"")</f>
        <v>6</v>
      </c>
      <c r="F36" s="48">
        <f ca="1">IFERROR(VLOOKUP($A36,ClassGrupFases!$C$33:$Q$40,5,FALSE),"")</f>
        <v>6</v>
      </c>
      <c r="G36" s="48">
        <f ca="1">IFERROR(VLOOKUP($A36,ClassGrupFases!$C$33:$Q$40,6,FALSE),"")</f>
        <v>1</v>
      </c>
      <c r="H36" s="48">
        <f ca="1">IFERROR(VLOOKUP($A36,ClassGrupFases!$C$33:$Q$40,7,FALSE),"")</f>
        <v>3</v>
      </c>
      <c r="I36" s="48">
        <f ca="1">IFERROR(VLOOKUP($A36,ClassGrupFases!$C$33:$Q$40,8,FALSE),"")</f>
        <v>2</v>
      </c>
      <c r="J36" s="48">
        <f ca="1">IFERROR(VLOOKUP($A36,ClassGrupFases!$C$33:$Q$40,9,FALSE),"")</f>
        <v>6</v>
      </c>
      <c r="K36" s="48">
        <f ca="1">IFERROR(VLOOKUP($A36,ClassGrupFases!$C$33:$Q$40,10,FALSE),"")</f>
        <v>9</v>
      </c>
      <c r="L36" s="48">
        <f ca="1">IFERROR(VLOOKUP($A36,ClassGrupFases!$C$33:$Q$40,11,FALSE),"")</f>
        <v>-3</v>
      </c>
      <c r="M36" s="40">
        <f ca="1">IFERROR(VLOOKUP($A36,ClassGrupFases!$C$33:$Q$40,1,FALSE),"")</f>
        <v>6</v>
      </c>
    </row>
    <row r="37" spans="1:13" x14ac:dyDescent="0.3">
      <c r="A37" s="36">
        <v>7</v>
      </c>
      <c r="B37" s="49">
        <f ca="1">IFERROR(VLOOKUP($A37,ClassGrupFases!$C$33:$Q$40,15,FALSE),"")</f>
        <v>7</v>
      </c>
      <c r="C37" s="50" t="str">
        <f ca="1">IFERROR(VLOOKUP($A37,ClassGrupFases!$C$33:$Q$40,2,FALSE),"")</f>
        <v>Marcelo Baceiredo MG</v>
      </c>
      <c r="D37" s="51">
        <f ca="1">IFERROR(VLOOKUP($A37,ClassGrupFases!$C$33:$Q$40,3,FALSE),"")</f>
        <v>5.5555555555555552E-2</v>
      </c>
      <c r="E37" s="52">
        <f ca="1">IFERROR(VLOOKUP($A37,ClassGrupFases!$C$33:$Q$40,4,FALSE),"")</f>
        <v>1</v>
      </c>
      <c r="F37" s="52">
        <f ca="1">IFERROR(VLOOKUP($A37,ClassGrupFases!$C$33:$Q$40,5,FALSE),"")</f>
        <v>6</v>
      </c>
      <c r="G37" s="52">
        <f ca="1">IFERROR(VLOOKUP($A37,ClassGrupFases!$C$33:$Q$40,6,FALSE),"")</f>
        <v>0</v>
      </c>
      <c r="H37" s="52">
        <f ca="1">IFERROR(VLOOKUP($A37,ClassGrupFases!$C$33:$Q$40,7,FALSE),"")</f>
        <v>1</v>
      </c>
      <c r="I37" s="52">
        <f ca="1">IFERROR(VLOOKUP($A37,ClassGrupFases!$C$33:$Q$40,8,FALSE),"")</f>
        <v>5</v>
      </c>
      <c r="J37" s="52">
        <f ca="1">IFERROR(VLOOKUP($A37,ClassGrupFases!$C$33:$Q$40,9,FALSE),"")</f>
        <v>2</v>
      </c>
      <c r="K37" s="52">
        <f ca="1">IFERROR(VLOOKUP($A37,ClassGrupFases!$C$33:$Q$40,10,FALSE),"")</f>
        <v>14</v>
      </c>
      <c r="L37" s="52">
        <f ca="1">IFERROR(VLOOKUP($A37,ClassGrupFases!$C$33:$Q$40,11,FALSE),"")</f>
        <v>-12</v>
      </c>
      <c r="M37" s="40">
        <f ca="1">IFERROR(VLOOKUP($A37,ClassGrupFases!$C$33:$Q$40,1,FALSE),"")</f>
        <v>7</v>
      </c>
    </row>
    <row r="39" spans="1:13" x14ac:dyDescent="0.3">
      <c r="B39" s="42" t="s">
        <v>17</v>
      </c>
      <c r="C39" s="43" t="s">
        <v>37</v>
      </c>
      <c r="D39" s="44" t="s">
        <v>38</v>
      </c>
      <c r="E39" s="44" t="s">
        <v>39</v>
      </c>
      <c r="F39" s="44" t="s">
        <v>15</v>
      </c>
      <c r="G39" s="44" t="s">
        <v>16</v>
      </c>
      <c r="H39" s="44" t="s">
        <v>17</v>
      </c>
      <c r="I39" s="44" t="s">
        <v>18</v>
      </c>
      <c r="J39" s="44" t="s">
        <v>40</v>
      </c>
      <c r="K39" s="44" t="s">
        <v>41</v>
      </c>
      <c r="L39" s="44" t="s">
        <v>42</v>
      </c>
    </row>
    <row r="40" spans="1:13" x14ac:dyDescent="0.3">
      <c r="A40" s="36">
        <v>1</v>
      </c>
      <c r="B40" s="45">
        <f ca="1">IFERROR(VLOOKUP($A40,ClassGrupFases!$C$42:$Q$49,15,FALSE),"")</f>
        <v>1</v>
      </c>
      <c r="C40" s="46" t="str">
        <f ca="1">IFERROR(VLOOKUP($A40,ClassGrupFases!$C$42:$Q$49,2,FALSE),"")</f>
        <v>Eduardo Rocha RJ</v>
      </c>
      <c r="D40" s="47">
        <f ca="1">IFERROR(VLOOKUP($A40,ClassGrupFases!$C$42:$Q$49,3,FALSE),"")</f>
        <v>0.83333333333333337</v>
      </c>
      <c r="E40" s="48">
        <f ca="1">IFERROR(VLOOKUP($A40,ClassGrupFases!$C$42:$Q$49,4,FALSE),"")</f>
        <v>15</v>
      </c>
      <c r="F40" s="48">
        <f ca="1">IFERROR(VLOOKUP($A40,ClassGrupFases!$C$42:$Q$49,5,FALSE),"")</f>
        <v>6</v>
      </c>
      <c r="G40" s="48">
        <f ca="1">IFERROR(VLOOKUP($A40,ClassGrupFases!$C$42:$Q$49,6,FALSE),"")</f>
        <v>5</v>
      </c>
      <c r="H40" s="48">
        <f ca="1">IFERROR(VLOOKUP($A40,ClassGrupFases!$C$42:$Q$49,7,FALSE),"")</f>
        <v>0</v>
      </c>
      <c r="I40" s="48">
        <f ca="1">IFERROR(VLOOKUP($A40,ClassGrupFases!$C$42:$Q$49,8,FALSE),"")</f>
        <v>1</v>
      </c>
      <c r="J40" s="48">
        <f ca="1">IFERROR(VLOOKUP($A40,ClassGrupFases!$C$42:$Q$49,9,FALSE),"")</f>
        <v>14</v>
      </c>
      <c r="K40" s="48">
        <f ca="1">IFERROR(VLOOKUP($A40,ClassGrupFases!$C$42:$Q$49,10,FALSE),"")</f>
        <v>6</v>
      </c>
      <c r="L40" s="48">
        <f ca="1">IFERROR(VLOOKUP($A40,ClassGrupFases!$C$42:$Q$49,11,FALSE),"")</f>
        <v>8</v>
      </c>
      <c r="M40" s="40">
        <f ca="1">IFERROR(VLOOKUP($A40,ClassGrupFases!$C$42:$Q$49,1,FALSE),"")</f>
        <v>1</v>
      </c>
    </row>
    <row r="41" spans="1:13" x14ac:dyDescent="0.3">
      <c r="A41" s="36">
        <v>2</v>
      </c>
      <c r="B41" s="45">
        <f ca="1">IFERROR(VLOOKUP($A41,ClassGrupFases!$C$42:$Q$49,15,FALSE),"")</f>
        <v>2</v>
      </c>
      <c r="C41" s="46" t="str">
        <f ca="1">IFERROR(VLOOKUP($A41,ClassGrupFases!$C$42:$Q$49,2,FALSE),"")</f>
        <v>Alex Lage MG</v>
      </c>
      <c r="D41" s="47">
        <f ca="1">IFERROR(VLOOKUP($A41,ClassGrupFases!$C$42:$Q$49,3,FALSE),"")</f>
        <v>0.72222222222222221</v>
      </c>
      <c r="E41" s="48">
        <f ca="1">IFERROR(VLOOKUP($A41,ClassGrupFases!$C$42:$Q$49,4,FALSE),"")</f>
        <v>13</v>
      </c>
      <c r="F41" s="48">
        <f ca="1">IFERROR(VLOOKUP($A41,ClassGrupFases!$C$42:$Q$49,5,FALSE),"")</f>
        <v>6</v>
      </c>
      <c r="G41" s="48">
        <f ca="1">IFERROR(VLOOKUP($A41,ClassGrupFases!$C$42:$Q$49,6,FALSE),"")</f>
        <v>4</v>
      </c>
      <c r="H41" s="48">
        <f ca="1">IFERROR(VLOOKUP($A41,ClassGrupFases!$C$42:$Q$49,7,FALSE),"")</f>
        <v>1</v>
      </c>
      <c r="I41" s="48">
        <f ca="1">IFERROR(VLOOKUP($A41,ClassGrupFases!$C$42:$Q$49,8,FALSE),"")</f>
        <v>1</v>
      </c>
      <c r="J41" s="48">
        <f ca="1">IFERROR(VLOOKUP($A41,ClassGrupFases!$C$42:$Q$49,9,FALSE),"")</f>
        <v>17</v>
      </c>
      <c r="K41" s="48">
        <f ca="1">IFERROR(VLOOKUP($A41,ClassGrupFases!$C$42:$Q$49,10,FALSE),"")</f>
        <v>12</v>
      </c>
      <c r="L41" s="48">
        <f ca="1">IFERROR(VLOOKUP($A41,ClassGrupFases!$C$42:$Q$49,11,FALSE),"")</f>
        <v>5</v>
      </c>
      <c r="M41" s="40">
        <f ca="1">IFERROR(VLOOKUP($A41,ClassGrupFases!$C$42:$Q$49,1,FALSE),"")</f>
        <v>2</v>
      </c>
    </row>
    <row r="42" spans="1:13" x14ac:dyDescent="0.3">
      <c r="A42" s="36">
        <v>3</v>
      </c>
      <c r="B42" s="45">
        <f ca="1">IFERROR(VLOOKUP($A42,ClassGrupFases!$C$42:$Q$49,15,FALSE),"")</f>
        <v>3</v>
      </c>
      <c r="C42" s="46" t="str">
        <f ca="1">IFERROR(VLOOKUP($A42,ClassGrupFases!$C$42:$Q$49,2,FALSE),"")</f>
        <v>Vinicius Rolim RJ</v>
      </c>
      <c r="D42" s="47">
        <f ca="1">IFERROR(VLOOKUP($A42,ClassGrupFases!$C$42:$Q$49,3,FALSE),"")</f>
        <v>0.72222222222222221</v>
      </c>
      <c r="E42" s="48">
        <f ca="1">IFERROR(VLOOKUP($A42,ClassGrupFases!$C$42:$Q$49,4,FALSE),"")</f>
        <v>13</v>
      </c>
      <c r="F42" s="48">
        <f ca="1">IFERROR(VLOOKUP($A42,ClassGrupFases!$C$42:$Q$49,5,FALSE),"")</f>
        <v>6</v>
      </c>
      <c r="G42" s="48">
        <f ca="1">IFERROR(VLOOKUP($A42,ClassGrupFases!$C$42:$Q$49,6,FALSE),"")</f>
        <v>4</v>
      </c>
      <c r="H42" s="48">
        <f ca="1">IFERROR(VLOOKUP($A42,ClassGrupFases!$C$42:$Q$49,7,FALSE),"")</f>
        <v>1</v>
      </c>
      <c r="I42" s="48">
        <f ca="1">IFERROR(VLOOKUP($A42,ClassGrupFases!$C$42:$Q$49,8,FALSE),"")</f>
        <v>1</v>
      </c>
      <c r="J42" s="48">
        <f ca="1">IFERROR(VLOOKUP($A42,ClassGrupFases!$C$42:$Q$49,9,FALSE),"")</f>
        <v>18</v>
      </c>
      <c r="K42" s="48">
        <f ca="1">IFERROR(VLOOKUP($A42,ClassGrupFases!$C$42:$Q$49,10,FALSE),"")</f>
        <v>14</v>
      </c>
      <c r="L42" s="48">
        <f ca="1">IFERROR(VLOOKUP($A42,ClassGrupFases!$C$42:$Q$49,11,FALSE),"")</f>
        <v>4</v>
      </c>
      <c r="M42" s="40">
        <f ca="1">IFERROR(VLOOKUP($A42,ClassGrupFases!$C$42:$Q$49,1,FALSE),"")</f>
        <v>3</v>
      </c>
    </row>
    <row r="43" spans="1:13" x14ac:dyDescent="0.3">
      <c r="A43" s="36">
        <v>4</v>
      </c>
      <c r="B43" s="45">
        <f ca="1">IFERROR(VLOOKUP($A43,ClassGrupFases!$C$42:$Q$49,15,FALSE),"")</f>
        <v>4</v>
      </c>
      <c r="C43" s="46" t="str">
        <f ca="1">IFERROR(VLOOKUP($A43,ClassGrupFases!$C$42:$Q$49,2,FALSE),"")</f>
        <v>João Carlos RJ</v>
      </c>
      <c r="D43" s="47">
        <f ca="1">IFERROR(VLOOKUP($A43,ClassGrupFases!$C$42:$Q$49,3,FALSE),"")</f>
        <v>0.5</v>
      </c>
      <c r="E43" s="48">
        <f ca="1">IFERROR(VLOOKUP($A43,ClassGrupFases!$C$42:$Q$49,4,FALSE),"")</f>
        <v>9</v>
      </c>
      <c r="F43" s="48">
        <f ca="1">IFERROR(VLOOKUP($A43,ClassGrupFases!$C$42:$Q$49,5,FALSE),"")</f>
        <v>6</v>
      </c>
      <c r="G43" s="48">
        <f ca="1">IFERROR(VLOOKUP($A43,ClassGrupFases!$C$42:$Q$49,6,FALSE),"")</f>
        <v>3</v>
      </c>
      <c r="H43" s="48">
        <f ca="1">IFERROR(VLOOKUP($A43,ClassGrupFases!$C$42:$Q$49,7,FALSE),"")</f>
        <v>0</v>
      </c>
      <c r="I43" s="48">
        <f ca="1">IFERROR(VLOOKUP($A43,ClassGrupFases!$C$42:$Q$49,8,FALSE),"")</f>
        <v>3</v>
      </c>
      <c r="J43" s="48">
        <f ca="1">IFERROR(VLOOKUP($A43,ClassGrupFases!$C$42:$Q$49,9,FALSE),"")</f>
        <v>14</v>
      </c>
      <c r="K43" s="48">
        <f ca="1">IFERROR(VLOOKUP($A43,ClassGrupFases!$C$42:$Q$49,10,FALSE),"")</f>
        <v>11</v>
      </c>
      <c r="L43" s="48">
        <f ca="1">IFERROR(VLOOKUP($A43,ClassGrupFases!$C$42:$Q$49,11,FALSE),"")</f>
        <v>3</v>
      </c>
      <c r="M43" s="40">
        <f ca="1">IFERROR(VLOOKUP($A43,ClassGrupFases!$C$42:$Q$49,1,FALSE),"")</f>
        <v>4</v>
      </c>
    </row>
    <row r="44" spans="1:13" x14ac:dyDescent="0.3">
      <c r="A44" s="36">
        <v>5</v>
      </c>
      <c r="B44" s="45">
        <f ca="1">IFERROR(VLOOKUP($A44,ClassGrupFases!$C$42:$Q$49,15,FALSE),"")</f>
        <v>5</v>
      </c>
      <c r="C44" s="46" t="str">
        <f ca="1">IFERROR(VLOOKUP($A44,ClassGrupFases!$C$42:$Q$49,2,FALSE),"")</f>
        <v>André Araújo AM</v>
      </c>
      <c r="D44" s="47">
        <f ca="1">IFERROR(VLOOKUP($A44,ClassGrupFases!$C$42:$Q$49,3,FALSE),"")</f>
        <v>0.33333333333333331</v>
      </c>
      <c r="E44" s="48">
        <f ca="1">IFERROR(VLOOKUP($A44,ClassGrupFases!$C$42:$Q$49,4,FALSE),"")</f>
        <v>6</v>
      </c>
      <c r="F44" s="48">
        <f ca="1">IFERROR(VLOOKUP($A44,ClassGrupFases!$C$42:$Q$49,5,FALSE),"")</f>
        <v>6</v>
      </c>
      <c r="G44" s="48">
        <f ca="1">IFERROR(VLOOKUP($A44,ClassGrupFases!$C$42:$Q$49,6,FALSE),"")</f>
        <v>2</v>
      </c>
      <c r="H44" s="48">
        <f ca="1">IFERROR(VLOOKUP($A44,ClassGrupFases!$C$42:$Q$49,7,FALSE),"")</f>
        <v>0</v>
      </c>
      <c r="I44" s="48">
        <f ca="1">IFERROR(VLOOKUP($A44,ClassGrupFases!$C$42:$Q$49,8,FALSE),"")</f>
        <v>4</v>
      </c>
      <c r="J44" s="48">
        <f ca="1">IFERROR(VLOOKUP($A44,ClassGrupFases!$C$42:$Q$49,9,FALSE),"")</f>
        <v>11</v>
      </c>
      <c r="K44" s="48">
        <f ca="1">IFERROR(VLOOKUP($A44,ClassGrupFases!$C$42:$Q$49,10,FALSE),"")</f>
        <v>15</v>
      </c>
      <c r="L44" s="48">
        <f ca="1">IFERROR(VLOOKUP($A44,ClassGrupFases!$C$42:$Q$49,11,FALSE),"")</f>
        <v>-4</v>
      </c>
      <c r="M44" s="40">
        <f ca="1">IFERROR(VLOOKUP($A44,ClassGrupFases!$C$42:$Q$49,1,FALSE),"")</f>
        <v>5</v>
      </c>
    </row>
    <row r="45" spans="1:13" x14ac:dyDescent="0.3">
      <c r="A45" s="36">
        <v>6</v>
      </c>
      <c r="B45" s="45">
        <f ca="1">IFERROR(VLOOKUP($A45,ClassGrupFases!$C$42:$Q$49,15,FALSE),"")</f>
        <v>6</v>
      </c>
      <c r="C45" s="46" t="str">
        <f ca="1">IFERROR(VLOOKUP($A45,ClassGrupFases!$C$42:$Q$49,2,FALSE),"")</f>
        <v>Curvelo RJ</v>
      </c>
      <c r="D45" s="47">
        <f ca="1">IFERROR(VLOOKUP($A45,ClassGrupFases!$C$42:$Q$49,3,FALSE),"")</f>
        <v>0.16666666666666666</v>
      </c>
      <c r="E45" s="48">
        <f ca="1">IFERROR(VLOOKUP($A45,ClassGrupFases!$C$42:$Q$49,4,FALSE),"")</f>
        <v>3</v>
      </c>
      <c r="F45" s="48">
        <f ca="1">IFERROR(VLOOKUP($A45,ClassGrupFases!$C$42:$Q$49,5,FALSE),"")</f>
        <v>6</v>
      </c>
      <c r="G45" s="48">
        <f ca="1">IFERROR(VLOOKUP($A45,ClassGrupFases!$C$42:$Q$49,6,FALSE),"")</f>
        <v>1</v>
      </c>
      <c r="H45" s="48">
        <f ca="1">IFERROR(VLOOKUP($A45,ClassGrupFases!$C$42:$Q$49,7,FALSE),"")</f>
        <v>0</v>
      </c>
      <c r="I45" s="48">
        <f ca="1">IFERROR(VLOOKUP($A45,ClassGrupFases!$C$42:$Q$49,8,FALSE),"")</f>
        <v>5</v>
      </c>
      <c r="J45" s="48">
        <f ca="1">IFERROR(VLOOKUP($A45,ClassGrupFases!$C$42:$Q$49,9,FALSE),"")</f>
        <v>6</v>
      </c>
      <c r="K45" s="48">
        <f ca="1">IFERROR(VLOOKUP($A45,ClassGrupFases!$C$42:$Q$49,10,FALSE),"")</f>
        <v>14</v>
      </c>
      <c r="L45" s="48">
        <f ca="1">IFERROR(VLOOKUP($A45,ClassGrupFases!$C$42:$Q$49,11,FALSE),"")</f>
        <v>-8</v>
      </c>
      <c r="M45" s="40">
        <f ca="1">IFERROR(VLOOKUP($A45,ClassGrupFases!$C$42:$Q$49,1,FALSE),"")</f>
        <v>6</v>
      </c>
    </row>
    <row r="46" spans="1:13" x14ac:dyDescent="0.3">
      <c r="A46" s="36">
        <v>7</v>
      </c>
      <c r="B46" s="49">
        <f ca="1">IFERROR(VLOOKUP($A46,ClassGrupFases!$C$42:$Q$49,15,FALSE),"")</f>
        <v>7</v>
      </c>
      <c r="C46" s="50" t="str">
        <f ca="1">IFERROR(VLOOKUP($A46,ClassGrupFases!$C$42:$Q$49,2,FALSE),"")</f>
        <v>Rogério MG</v>
      </c>
      <c r="D46" s="51">
        <f ca="1">IFERROR(VLOOKUP($A46,ClassGrupFases!$C$42:$Q$49,3,FALSE),"")</f>
        <v>0.16666666666666666</v>
      </c>
      <c r="E46" s="52">
        <f ca="1">IFERROR(VLOOKUP($A46,ClassGrupFases!$C$42:$Q$49,4,FALSE),"")</f>
        <v>3</v>
      </c>
      <c r="F46" s="52">
        <f ca="1">IFERROR(VLOOKUP($A46,ClassGrupFases!$C$42:$Q$49,5,FALSE),"")</f>
        <v>6</v>
      </c>
      <c r="G46" s="52">
        <f ca="1">IFERROR(VLOOKUP($A46,ClassGrupFases!$C$42:$Q$49,6,FALSE),"")</f>
        <v>1</v>
      </c>
      <c r="H46" s="52">
        <f ca="1">IFERROR(VLOOKUP($A46,ClassGrupFases!$C$42:$Q$49,7,FALSE),"")</f>
        <v>0</v>
      </c>
      <c r="I46" s="52">
        <f ca="1">IFERROR(VLOOKUP($A46,ClassGrupFases!$C$42:$Q$49,8,FALSE),"")</f>
        <v>5</v>
      </c>
      <c r="J46" s="52">
        <f ca="1">IFERROR(VLOOKUP($A46,ClassGrupFases!$C$42:$Q$49,9,FALSE),"")</f>
        <v>4</v>
      </c>
      <c r="K46" s="52">
        <f ca="1">IFERROR(VLOOKUP($A46,ClassGrupFases!$C$42:$Q$49,10,FALSE),"")</f>
        <v>12</v>
      </c>
      <c r="L46" s="52">
        <f ca="1">IFERROR(VLOOKUP($A46,ClassGrupFases!$C$42:$Q$49,11,FALSE),"")</f>
        <v>-8</v>
      </c>
      <c r="M46" s="40">
        <f ca="1">IFERROR(VLOOKUP($A46,ClassGrupFases!$C$42:$Q$49,1,FALSE),"")</f>
        <v>7</v>
      </c>
    </row>
    <row r="48" spans="1:13" x14ac:dyDescent="0.3">
      <c r="B48" s="42" t="s">
        <v>27</v>
      </c>
      <c r="C48" s="43" t="s">
        <v>37</v>
      </c>
      <c r="D48" s="44" t="s">
        <v>38</v>
      </c>
      <c r="E48" s="44" t="s">
        <v>39</v>
      </c>
      <c r="F48" s="44" t="s">
        <v>15</v>
      </c>
      <c r="G48" s="44" t="s">
        <v>16</v>
      </c>
      <c r="H48" s="44" t="s">
        <v>17</v>
      </c>
      <c r="I48" s="44" t="s">
        <v>18</v>
      </c>
      <c r="J48" s="44" t="s">
        <v>40</v>
      </c>
      <c r="K48" s="44" t="s">
        <v>41</v>
      </c>
      <c r="L48" s="44" t="s">
        <v>42</v>
      </c>
    </row>
    <row r="49" spans="1:13" x14ac:dyDescent="0.3">
      <c r="A49" s="36">
        <v>1</v>
      </c>
      <c r="B49" s="45">
        <f ca="1">IFERROR(VLOOKUP($A49,ClassGrupFases!$C$51:$Q$58,15,FALSE),"")</f>
        <v>1</v>
      </c>
      <c r="C49" s="46" t="str">
        <f ca="1">IFERROR(VLOOKUP($A49,ClassGrupFases!$C$51:$Q$58,2,FALSE),"")</f>
        <v>Tavares RJ</v>
      </c>
      <c r="D49" s="47">
        <f ca="1">IFERROR(VLOOKUP($A49,ClassGrupFases!$C$51:$Q$58,3,FALSE),"")</f>
        <v>0.83333333333333337</v>
      </c>
      <c r="E49" s="48">
        <f ca="1">IFERROR(VLOOKUP($A49,ClassGrupFases!$C$51:$Q$58,4,FALSE),"")</f>
        <v>15</v>
      </c>
      <c r="F49" s="48">
        <f ca="1">IFERROR(VLOOKUP($A49,ClassGrupFases!$C$51:$Q$58,5,FALSE),"")</f>
        <v>6</v>
      </c>
      <c r="G49" s="48">
        <f ca="1">IFERROR(VLOOKUP($A49,ClassGrupFases!$C$51:$Q$58,6,FALSE),"")</f>
        <v>5</v>
      </c>
      <c r="H49" s="48">
        <f ca="1">IFERROR(VLOOKUP($A49,ClassGrupFases!$C$51:$Q$58,7,FALSE),"")</f>
        <v>0</v>
      </c>
      <c r="I49" s="48">
        <f ca="1">IFERROR(VLOOKUP($A49,ClassGrupFases!$C$51:$Q$58,8,FALSE),"")</f>
        <v>1</v>
      </c>
      <c r="J49" s="48">
        <f ca="1">IFERROR(VLOOKUP($A49,ClassGrupFases!$C$51:$Q$58,9,FALSE),"")</f>
        <v>21</v>
      </c>
      <c r="K49" s="48">
        <f ca="1">IFERROR(VLOOKUP($A49,ClassGrupFases!$C$51:$Q$58,10,FALSE),"")</f>
        <v>10</v>
      </c>
      <c r="L49" s="48">
        <f ca="1">IFERROR(VLOOKUP($A49,ClassGrupFases!$C$51:$Q$58,11,FALSE),"")</f>
        <v>11</v>
      </c>
      <c r="M49" s="40">
        <f ca="1">IFERROR(VLOOKUP($A49,ClassGrupFases!$C$51:$Q$58,1,FALSE),"")</f>
        <v>1</v>
      </c>
    </row>
    <row r="50" spans="1:13" x14ac:dyDescent="0.3">
      <c r="A50" s="36">
        <v>2</v>
      </c>
      <c r="B50" s="45">
        <f ca="1">IFERROR(VLOOKUP($A50,ClassGrupFases!$C$51:$Q$58,15,FALSE),"")</f>
        <v>2</v>
      </c>
      <c r="C50" s="46" t="str">
        <f ca="1">IFERROR(VLOOKUP($A50,ClassGrupFases!$C$51:$Q$58,2,FALSE),"")</f>
        <v>Willow SP</v>
      </c>
      <c r="D50" s="47">
        <f ca="1">IFERROR(VLOOKUP($A50,ClassGrupFases!$C$51:$Q$58,3,FALSE),"")</f>
        <v>0.72222222222222221</v>
      </c>
      <c r="E50" s="48">
        <f ca="1">IFERROR(VLOOKUP($A50,ClassGrupFases!$C$51:$Q$58,4,FALSE),"")</f>
        <v>13</v>
      </c>
      <c r="F50" s="48">
        <f ca="1">IFERROR(VLOOKUP($A50,ClassGrupFases!$C$51:$Q$58,5,FALSE),"")</f>
        <v>6</v>
      </c>
      <c r="G50" s="48">
        <f ca="1">IFERROR(VLOOKUP($A50,ClassGrupFases!$C$51:$Q$58,6,FALSE),"")</f>
        <v>4</v>
      </c>
      <c r="H50" s="48">
        <f ca="1">IFERROR(VLOOKUP($A50,ClassGrupFases!$C$51:$Q$58,7,FALSE),"")</f>
        <v>1</v>
      </c>
      <c r="I50" s="48">
        <f ca="1">IFERROR(VLOOKUP($A50,ClassGrupFases!$C$51:$Q$58,8,FALSE),"")</f>
        <v>1</v>
      </c>
      <c r="J50" s="48">
        <f ca="1">IFERROR(VLOOKUP($A50,ClassGrupFases!$C$51:$Q$58,9,FALSE),"")</f>
        <v>18</v>
      </c>
      <c r="K50" s="48">
        <f ca="1">IFERROR(VLOOKUP($A50,ClassGrupFases!$C$51:$Q$58,10,FALSE),"")</f>
        <v>11</v>
      </c>
      <c r="L50" s="48">
        <f ca="1">IFERROR(VLOOKUP($A50,ClassGrupFases!$C$51:$Q$58,11,FALSE),"")</f>
        <v>7</v>
      </c>
      <c r="M50" s="40">
        <f ca="1">IFERROR(VLOOKUP($A50,ClassGrupFases!$C$51:$Q$58,1,FALSE),"")</f>
        <v>2</v>
      </c>
    </row>
    <row r="51" spans="1:13" x14ac:dyDescent="0.3">
      <c r="A51" s="36">
        <v>3</v>
      </c>
      <c r="B51" s="45">
        <f ca="1">IFERROR(VLOOKUP($A51,ClassGrupFases!$C$51:$Q$58,15,FALSE),"")</f>
        <v>3</v>
      </c>
      <c r="C51" s="46" t="str">
        <f ca="1">IFERROR(VLOOKUP($A51,ClassGrupFases!$C$51:$Q$58,2,FALSE),"")</f>
        <v>Elsio SP</v>
      </c>
      <c r="D51" s="47">
        <f ca="1">IFERROR(VLOOKUP($A51,ClassGrupFases!$C$51:$Q$58,3,FALSE),"")</f>
        <v>0.61111111111111116</v>
      </c>
      <c r="E51" s="48">
        <f ca="1">IFERROR(VLOOKUP($A51,ClassGrupFases!$C$51:$Q$58,4,FALSE),"")</f>
        <v>11</v>
      </c>
      <c r="F51" s="48">
        <f ca="1">IFERROR(VLOOKUP($A51,ClassGrupFases!$C$51:$Q$58,5,FALSE),"")</f>
        <v>6</v>
      </c>
      <c r="G51" s="48">
        <f ca="1">IFERROR(VLOOKUP($A51,ClassGrupFases!$C$51:$Q$58,6,FALSE),"")</f>
        <v>3</v>
      </c>
      <c r="H51" s="48">
        <f ca="1">IFERROR(VLOOKUP($A51,ClassGrupFases!$C$51:$Q$58,7,FALSE),"")</f>
        <v>2</v>
      </c>
      <c r="I51" s="48">
        <f ca="1">IFERROR(VLOOKUP($A51,ClassGrupFases!$C$51:$Q$58,8,FALSE),"")</f>
        <v>1</v>
      </c>
      <c r="J51" s="48">
        <f ca="1">IFERROR(VLOOKUP($A51,ClassGrupFases!$C$51:$Q$58,9,FALSE),"")</f>
        <v>15</v>
      </c>
      <c r="K51" s="48">
        <f ca="1">IFERROR(VLOOKUP($A51,ClassGrupFases!$C$51:$Q$58,10,FALSE),"")</f>
        <v>13</v>
      </c>
      <c r="L51" s="48">
        <f ca="1">IFERROR(VLOOKUP($A51,ClassGrupFases!$C$51:$Q$58,11,FALSE),"")</f>
        <v>2</v>
      </c>
      <c r="M51" s="40">
        <f ca="1">IFERROR(VLOOKUP($A51,ClassGrupFases!$C$51:$Q$58,1,FALSE),"")</f>
        <v>3</v>
      </c>
    </row>
    <row r="52" spans="1:13" x14ac:dyDescent="0.3">
      <c r="A52" s="36">
        <v>4</v>
      </c>
      <c r="B52" s="45">
        <f ca="1">IFERROR(VLOOKUP($A52,ClassGrupFases!$C$51:$Q$58,15,FALSE),"")</f>
        <v>4</v>
      </c>
      <c r="C52" s="46" t="str">
        <f ca="1">IFERROR(VLOOKUP($A52,ClassGrupFases!$C$51:$Q$58,2,FALSE),"")</f>
        <v>Vitor Luiz</v>
      </c>
      <c r="D52" s="47">
        <f ca="1">IFERROR(VLOOKUP($A52,ClassGrupFases!$C$51:$Q$58,3,FALSE),"")</f>
        <v>0.3888888888888889</v>
      </c>
      <c r="E52" s="48">
        <f ca="1">IFERROR(VLOOKUP($A52,ClassGrupFases!$C$51:$Q$58,4,FALSE),"")</f>
        <v>7</v>
      </c>
      <c r="F52" s="48">
        <f ca="1">IFERROR(VLOOKUP($A52,ClassGrupFases!$C$51:$Q$58,5,FALSE),"")</f>
        <v>6</v>
      </c>
      <c r="G52" s="48">
        <f ca="1">IFERROR(VLOOKUP($A52,ClassGrupFases!$C$51:$Q$58,6,FALSE),"")</f>
        <v>2</v>
      </c>
      <c r="H52" s="48">
        <f ca="1">IFERROR(VLOOKUP($A52,ClassGrupFases!$C$51:$Q$58,7,FALSE),"")</f>
        <v>1</v>
      </c>
      <c r="I52" s="48">
        <f ca="1">IFERROR(VLOOKUP($A52,ClassGrupFases!$C$51:$Q$58,8,FALSE),"")</f>
        <v>3</v>
      </c>
      <c r="J52" s="48">
        <f ca="1">IFERROR(VLOOKUP($A52,ClassGrupFases!$C$51:$Q$58,9,FALSE),"")</f>
        <v>9</v>
      </c>
      <c r="K52" s="48">
        <f ca="1">IFERROR(VLOOKUP($A52,ClassGrupFases!$C$51:$Q$58,10,FALSE),"")</f>
        <v>13</v>
      </c>
      <c r="L52" s="48">
        <f ca="1">IFERROR(VLOOKUP($A52,ClassGrupFases!$C$51:$Q$58,11,FALSE),"")</f>
        <v>-4</v>
      </c>
      <c r="M52" s="40">
        <f ca="1">IFERROR(VLOOKUP($A52,ClassGrupFases!$C$51:$Q$58,1,FALSE),"")</f>
        <v>4</v>
      </c>
    </row>
    <row r="53" spans="1:13" x14ac:dyDescent="0.3">
      <c r="A53" s="36">
        <v>5</v>
      </c>
      <c r="B53" s="45">
        <f ca="1">IFERROR(VLOOKUP($A53,ClassGrupFases!$C$51:$Q$58,15,FALSE),"")</f>
        <v>5</v>
      </c>
      <c r="C53" s="46" t="str">
        <f ca="1">IFERROR(VLOOKUP($A53,ClassGrupFases!$C$51:$Q$58,2,FALSE),"")</f>
        <v>Marcelo Aranha SP</v>
      </c>
      <c r="D53" s="47">
        <f ca="1">IFERROR(VLOOKUP($A53,ClassGrupFases!$C$51:$Q$58,3,FALSE),"")</f>
        <v>0.33333333333333331</v>
      </c>
      <c r="E53" s="48">
        <f ca="1">IFERROR(VLOOKUP($A53,ClassGrupFases!$C$51:$Q$58,4,FALSE),"")</f>
        <v>6</v>
      </c>
      <c r="F53" s="48">
        <f ca="1">IFERROR(VLOOKUP($A53,ClassGrupFases!$C$51:$Q$58,5,FALSE),"")</f>
        <v>6</v>
      </c>
      <c r="G53" s="48">
        <f ca="1">IFERROR(VLOOKUP($A53,ClassGrupFases!$C$51:$Q$58,6,FALSE),"")</f>
        <v>2</v>
      </c>
      <c r="H53" s="48">
        <f ca="1">IFERROR(VLOOKUP($A53,ClassGrupFases!$C$51:$Q$58,7,FALSE),"")</f>
        <v>0</v>
      </c>
      <c r="I53" s="48">
        <f ca="1">IFERROR(VLOOKUP($A53,ClassGrupFases!$C$51:$Q$58,8,FALSE),"")</f>
        <v>4</v>
      </c>
      <c r="J53" s="48">
        <f ca="1">IFERROR(VLOOKUP($A53,ClassGrupFases!$C$51:$Q$58,9,FALSE),"")</f>
        <v>7</v>
      </c>
      <c r="K53" s="48">
        <f ca="1">IFERROR(VLOOKUP($A53,ClassGrupFases!$C$51:$Q$58,10,FALSE),"")</f>
        <v>11</v>
      </c>
      <c r="L53" s="48">
        <f ca="1">IFERROR(VLOOKUP($A53,ClassGrupFases!$C$51:$Q$58,11,FALSE),"")</f>
        <v>-4</v>
      </c>
      <c r="M53" s="40">
        <f ca="1">IFERROR(VLOOKUP($A53,ClassGrupFases!$C$51:$Q$58,1,FALSE),"")</f>
        <v>5</v>
      </c>
    </row>
    <row r="54" spans="1:13" x14ac:dyDescent="0.3">
      <c r="A54" s="36">
        <v>6</v>
      </c>
      <c r="B54" s="45">
        <f ca="1">IFERROR(VLOOKUP($A54,ClassGrupFases!$C$51:$Q$58,15,FALSE),"")</f>
        <v>6</v>
      </c>
      <c r="C54" s="46" t="str">
        <f ca="1">IFERROR(VLOOKUP($A54,ClassGrupFases!$C$51:$Q$58,2,FALSE),"")</f>
        <v>Bergamini SP</v>
      </c>
      <c r="D54" s="47">
        <f ca="1">IFERROR(VLOOKUP($A54,ClassGrupFases!$C$51:$Q$58,3,FALSE),"")</f>
        <v>0.27777777777777779</v>
      </c>
      <c r="E54" s="48">
        <f ca="1">IFERROR(VLOOKUP($A54,ClassGrupFases!$C$51:$Q$58,4,FALSE),"")</f>
        <v>5</v>
      </c>
      <c r="F54" s="48">
        <f ca="1">IFERROR(VLOOKUP($A54,ClassGrupFases!$C$51:$Q$58,5,FALSE),"")</f>
        <v>6</v>
      </c>
      <c r="G54" s="48">
        <f ca="1">IFERROR(VLOOKUP($A54,ClassGrupFases!$C$51:$Q$58,6,FALSE),"")</f>
        <v>1</v>
      </c>
      <c r="H54" s="48">
        <f ca="1">IFERROR(VLOOKUP($A54,ClassGrupFases!$C$51:$Q$58,7,FALSE),"")</f>
        <v>2</v>
      </c>
      <c r="I54" s="48">
        <f ca="1">IFERROR(VLOOKUP($A54,ClassGrupFases!$C$51:$Q$58,8,FALSE),"")</f>
        <v>3</v>
      </c>
      <c r="J54" s="48">
        <f ca="1">IFERROR(VLOOKUP($A54,ClassGrupFases!$C$51:$Q$58,9,FALSE),"")</f>
        <v>11</v>
      </c>
      <c r="K54" s="48">
        <f ca="1">IFERROR(VLOOKUP($A54,ClassGrupFases!$C$51:$Q$58,10,FALSE),"")</f>
        <v>14</v>
      </c>
      <c r="L54" s="48">
        <f ca="1">IFERROR(VLOOKUP($A54,ClassGrupFases!$C$51:$Q$58,11,FALSE),"")</f>
        <v>-3</v>
      </c>
      <c r="M54" s="40">
        <f ca="1">IFERROR(VLOOKUP($A54,ClassGrupFases!$C$51:$Q$58,1,FALSE),"")</f>
        <v>6</v>
      </c>
    </row>
    <row r="55" spans="1:13" x14ac:dyDescent="0.3">
      <c r="A55" s="36">
        <v>7</v>
      </c>
      <c r="B55" s="49">
        <f ca="1">IFERROR(VLOOKUP($A55,ClassGrupFases!$C$51:$Q$58,15,FALSE),"")</f>
        <v>7</v>
      </c>
      <c r="C55" s="50" t="str">
        <f ca="1">IFERROR(VLOOKUP($A55,ClassGrupFases!$C$51:$Q$58,2,FALSE),"")</f>
        <v>João Marcelo MG</v>
      </c>
      <c r="D55" s="51">
        <f ca="1">IFERROR(VLOOKUP($A55,ClassGrupFases!$C$51:$Q$58,3,FALSE),"")</f>
        <v>0.16666666666666666</v>
      </c>
      <c r="E55" s="52">
        <f ca="1">IFERROR(VLOOKUP($A55,ClassGrupFases!$C$51:$Q$58,4,FALSE),"")</f>
        <v>3</v>
      </c>
      <c r="F55" s="52">
        <f ca="1">IFERROR(VLOOKUP($A55,ClassGrupFases!$C$51:$Q$58,5,FALSE),"")</f>
        <v>6</v>
      </c>
      <c r="G55" s="52">
        <f ca="1">IFERROR(VLOOKUP($A55,ClassGrupFases!$C$51:$Q$58,6,FALSE),"")</f>
        <v>1</v>
      </c>
      <c r="H55" s="52">
        <f ca="1">IFERROR(VLOOKUP($A55,ClassGrupFases!$C$51:$Q$58,7,FALSE),"")</f>
        <v>0</v>
      </c>
      <c r="I55" s="52">
        <f ca="1">IFERROR(VLOOKUP($A55,ClassGrupFases!$C$51:$Q$58,8,FALSE),"")</f>
        <v>5</v>
      </c>
      <c r="J55" s="52">
        <f ca="1">IFERROR(VLOOKUP($A55,ClassGrupFases!$C$51:$Q$58,9,FALSE),"")</f>
        <v>10</v>
      </c>
      <c r="K55" s="52">
        <f ca="1">IFERROR(VLOOKUP($A55,ClassGrupFases!$C$51:$Q$58,10,FALSE),"")</f>
        <v>19</v>
      </c>
      <c r="L55" s="52">
        <f ca="1">IFERROR(VLOOKUP($A55,ClassGrupFases!$C$51:$Q$58,11,FALSE),"")</f>
        <v>-9</v>
      </c>
      <c r="M55" s="40">
        <f ca="1">IFERROR(VLOOKUP($A55,ClassGrupFases!$C$51:$Q$58,1,FALSE),"")</f>
        <v>7</v>
      </c>
    </row>
  </sheetData>
  <sheetProtection algorithmName="SHA-512" hashValue="lsUIMxS1B7IXTkJvsLMYgfXiXXJU8MB4Vx1s4uOeAVLnwoMKfoNeCQNkNTRFouc8rvDTosBugIPtEs6ljGHZ4A==" saltValue="4k3/xcyNFqRkfIQzO0hz0A==" spinCount="100000" sheet="1" objects="1" scenarios="1"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0630E-0358-4D47-BDBF-99DEFA33E670}">
  <dimension ref="A1:AE56"/>
  <sheetViews>
    <sheetView showGridLines="0" topLeftCell="B1" workbookViewId="0">
      <pane ySplit="1" topLeftCell="A2" activePane="bottomLeft" state="frozen"/>
      <selection activeCell="B1" sqref="B1"/>
      <selection pane="bottomLeft" activeCell="C5" sqref="C5"/>
    </sheetView>
  </sheetViews>
  <sheetFormatPr defaultRowHeight="17.25" x14ac:dyDescent="0.3"/>
  <cols>
    <col min="1" max="1" width="2.7109375" style="56" hidden="1" customWidth="1"/>
    <col min="2" max="2" width="40.7109375" style="35" customWidth="1"/>
    <col min="3" max="5" width="4.7109375" style="33" customWidth="1"/>
    <col min="6" max="6" width="40.7109375" style="34" customWidth="1"/>
    <col min="7" max="7" width="2.7109375" style="56" hidden="1" customWidth="1"/>
    <col min="8" max="8" width="6.7109375" style="33" customWidth="1"/>
    <col min="9" max="11" width="4.7109375" style="33" customWidth="1"/>
    <col min="12" max="12" width="10.7109375" style="35" customWidth="1"/>
    <col min="13" max="13" width="4.7109375" style="57" hidden="1" customWidth="1"/>
    <col min="14" max="14" width="10.7109375" style="58" hidden="1" customWidth="1"/>
    <col min="15" max="15" width="4.7109375" style="57" hidden="1" customWidth="1"/>
    <col min="16" max="16" width="1.7109375" style="22" hidden="1" customWidth="1"/>
    <col min="17" max="17" width="4.7109375" style="56" hidden="1" customWidth="1"/>
    <col min="18" max="18" width="10.7109375" style="59" hidden="1" customWidth="1"/>
    <col min="19" max="19" width="4.7109375" style="56" hidden="1" customWidth="1"/>
    <col min="20" max="20" width="9.140625" style="22" hidden="1" customWidth="1"/>
    <col min="21" max="31" width="5.7109375" style="60" hidden="1" customWidth="1"/>
    <col min="32" max="32" width="9.140625" style="32" customWidth="1"/>
    <col min="33" max="16384" width="9.140625" style="32"/>
  </cols>
  <sheetData>
    <row r="1" spans="1:31" ht="20.25" x14ac:dyDescent="0.3">
      <c r="B1" s="2" t="s">
        <v>90</v>
      </c>
      <c r="R1" s="59" t="s">
        <v>91</v>
      </c>
    </row>
    <row r="2" spans="1:31" x14ac:dyDescent="0.3">
      <c r="B2" s="3" t="s">
        <v>1</v>
      </c>
      <c r="R2" s="59" t="b">
        <f>Jogos!M2*2 = ClassGrupFases!$S$2</f>
        <v>1</v>
      </c>
    </row>
    <row r="3" spans="1:31" ht="25.5" x14ac:dyDescent="0.5">
      <c r="B3" s="62" t="s">
        <v>92</v>
      </c>
      <c r="C3" s="62"/>
      <c r="D3" s="62"/>
      <c r="E3" s="62"/>
      <c r="F3" s="62"/>
      <c r="G3" s="62"/>
      <c r="H3" s="62"/>
      <c r="U3" s="60" t="s">
        <v>15</v>
      </c>
      <c r="V3" s="60" t="s">
        <v>15</v>
      </c>
      <c r="W3" s="60" t="s">
        <v>16</v>
      </c>
      <c r="X3" s="60" t="s">
        <v>17</v>
      </c>
      <c r="Y3" s="60" t="s">
        <v>17</v>
      </c>
      <c r="Z3" s="60" t="s">
        <v>18</v>
      </c>
      <c r="AA3" s="60" t="s">
        <v>19</v>
      </c>
      <c r="AB3" s="60" t="s">
        <v>20</v>
      </c>
      <c r="AC3" s="60" t="s">
        <v>16</v>
      </c>
      <c r="AD3" s="60" t="s">
        <v>21</v>
      </c>
      <c r="AE3" s="60" t="s">
        <v>22</v>
      </c>
    </row>
    <row r="4" spans="1:31" x14ac:dyDescent="0.3">
      <c r="B4" s="65" t="s">
        <v>93</v>
      </c>
      <c r="C4" s="65"/>
      <c r="D4" s="65"/>
      <c r="E4" s="65"/>
      <c r="F4" s="65"/>
      <c r="G4" s="65"/>
      <c r="H4" s="64" t="s">
        <v>94</v>
      </c>
      <c r="L4" s="63">
        <f>Jogos!K3 + TIME(0,160,0)</f>
        <v>44850.527777777774</v>
      </c>
      <c r="M4" s="67" t="s">
        <v>95</v>
      </c>
      <c r="N4" s="66"/>
      <c r="O4" s="66"/>
      <c r="Q4" s="69" t="s">
        <v>96</v>
      </c>
      <c r="R4" s="68"/>
      <c r="S4" s="68"/>
    </row>
    <row r="5" spans="1:31" x14ac:dyDescent="0.3">
      <c r="A5" s="56">
        <v>1</v>
      </c>
      <c r="B5" s="73" t="str">
        <f ca="1">IFERROR(IF($R$2,VLOOKUP($A5,ClassGrupFases!$C$69:$D$100,2,FALSE),""),"")</f>
        <v>Gabriel RJ</v>
      </c>
      <c r="C5" s="74">
        <v>2</v>
      </c>
      <c r="D5" s="70" t="s">
        <v>23</v>
      </c>
      <c r="E5" s="74">
        <v>0</v>
      </c>
      <c r="F5" s="71" t="str">
        <f ca="1">IFERROR(IF($R$2,VLOOKUP($G5,ClassGrupFases!$C$69:$D$100,2,FALSE),""),"")</f>
        <v>Ronaldo Eifler RS</v>
      </c>
      <c r="G5" s="72">
        <v>32</v>
      </c>
      <c r="H5" s="70">
        <v>17</v>
      </c>
      <c r="I5" s="70">
        <v>17</v>
      </c>
      <c r="J5" s="70">
        <v>17</v>
      </c>
      <c r="K5" s="70">
        <v>17</v>
      </c>
      <c r="M5" s="57">
        <f ca="1">IFERROR(_xlfn.RANK.EQ(O5, O5:O20, 0), "")</f>
        <v>1</v>
      </c>
      <c r="N5" s="58" t="str">
        <f t="shared" ref="N5:N20" ca="1" si="0">IF(OR(C5="", E5=""), "", IF(OR(C5&gt;E5, C5=E5), B5, F5))</f>
        <v>Gabriel RJ</v>
      </c>
      <c r="O5" s="57">
        <f ca="1">IF(OR(C5="", E5=""), "", VLOOKUP(N5, ClassGrupFases!$D$6:$AA$57, 24, 0))</f>
        <v>78.205623014074064</v>
      </c>
      <c r="Q5" s="56">
        <f ca="1">IFERROR(_xlfn.RANK.EQ(S5, S5:S20, 0) + 16, "")</f>
        <v>32</v>
      </c>
      <c r="R5" s="59" t="str">
        <f t="shared" ref="R5:R20" ca="1" si="1">IF(OR(C5="", E5=""), "", IF(OR(C5&gt;E5, C5=E5), F5, B5))</f>
        <v>Ronaldo Eifler RS</v>
      </c>
      <c r="S5" s="56">
        <f ca="1">IF(OR(C5="", E5=""), "", VLOOKUP(R5, ClassGrupFases!$D$6:$AA$57, 24, 0))</f>
        <v>31.278350419629628</v>
      </c>
      <c r="U5" s="60" t="str">
        <f t="shared" ref="U5:U20" ca="1" si="2">IF(OR(C5 = "",E5 = ""), "", F5)</f>
        <v>Ronaldo Eifler RS</v>
      </c>
      <c r="W5" s="60" t="str">
        <f t="shared" ref="W5:W20" ca="1" si="3">IF(OR(C5 = "",E5 = ""), "", IF(C5&gt;E5,B5, IF(E5&gt;C5,F5, "")))</f>
        <v>Gabriel RJ</v>
      </c>
      <c r="X5" s="60" t="str">
        <f t="shared" ref="X5:X20" si="4">IF(OR(C5 = "",E5 = ""), "", IF(C5=E5,B5, ""))</f>
        <v/>
      </c>
      <c r="Y5" s="60" t="str">
        <f t="shared" ref="Y5:Y20" si="5">IF(OR(C5 = "",E5 = ""), "", IF(C5=E5,F5, ""))</f>
        <v/>
      </c>
      <c r="Z5" s="60" t="str">
        <f t="shared" ref="Z5:Z20" ca="1" si="6">IF(OR(C5 = "",E5 = ""), "", IF(C5&gt;E5,F5, IF(E5&gt;C5,B5, "")))</f>
        <v>Ronaldo Eifler RS</v>
      </c>
      <c r="AA5" s="60" t="str">
        <f t="shared" ref="AA5:AA20" ca="1" si="7">IF(OR(C5 = "",E5 = ""), "", B5)</f>
        <v>Gabriel RJ</v>
      </c>
      <c r="AB5" s="60">
        <f t="shared" ref="AB5:AB20" si="8">IF(C5 = "", "", C5)</f>
        <v>2</v>
      </c>
      <c r="AC5" s="60" t="str">
        <f t="shared" ref="AC5:AC20" ca="1" si="9">IF(OR(C5 = "",E5 = ""), "", F5)</f>
        <v>Ronaldo Eifler RS</v>
      </c>
      <c r="AD5" s="60">
        <f t="shared" ref="AD5:AD20" si="10">IF(E5 = "", "", E5)</f>
        <v>0</v>
      </c>
      <c r="AE5" s="60">
        <f t="shared" ref="AE5:AE20" si="11">IF(C5 = "", "", C5)</f>
        <v>2</v>
      </c>
    </row>
    <row r="6" spans="1:31" x14ac:dyDescent="0.3">
      <c r="A6" s="56">
        <v>2</v>
      </c>
      <c r="B6" s="61" t="str">
        <f ca="1">IFERROR(IF($R$2,VLOOKUP($A6,ClassGrupFases!$C$69:$D$100,2,FALSE),""),"")</f>
        <v>Claudio Jr MG</v>
      </c>
      <c r="C6" s="74">
        <v>4</v>
      </c>
      <c r="D6" s="33" t="s">
        <v>23</v>
      </c>
      <c r="E6" s="74">
        <v>4</v>
      </c>
      <c r="F6" s="34" t="str">
        <f ca="1">IFERROR(IF($R$2,VLOOKUP($G6,ClassGrupFases!$C$69:$D$100,2,FALSE),""),"")</f>
        <v>Claudio Mastrangelo RS</v>
      </c>
      <c r="G6" s="56">
        <v>31</v>
      </c>
      <c r="H6" s="33">
        <v>18</v>
      </c>
      <c r="I6" s="33">
        <v>18</v>
      </c>
      <c r="J6" s="33">
        <v>18</v>
      </c>
      <c r="K6" s="33">
        <v>18</v>
      </c>
      <c r="M6" s="57">
        <f ca="1">IFERROR(_xlfn.RANK.EQ(O6, O5:O20, 0), "")</f>
        <v>2</v>
      </c>
      <c r="N6" s="58" t="str">
        <f t="shared" ca="1" si="0"/>
        <v>Claudio Jr MG</v>
      </c>
      <c r="O6" s="57">
        <f ca="1">IF(OR(C6="", E6=""), "", VLOOKUP(N6, ClassGrupFases!$D$6:$AA$57, 24, 0))</f>
        <v>74.292718130370361</v>
      </c>
      <c r="Q6" s="56">
        <f ca="1">IFERROR(_xlfn.RANK.EQ(S6, S5:S20, 0) + 16, "")</f>
        <v>31</v>
      </c>
      <c r="R6" s="59" t="str">
        <f t="shared" ca="1" si="1"/>
        <v>Claudio Mastrangelo RS</v>
      </c>
      <c r="S6" s="56">
        <f ca="1">IF(OR(C6="", E6=""), "", VLOOKUP(R6, ClassGrupFases!$D$6:$AA$57, 24, 0))</f>
        <v>35.181949943333329</v>
      </c>
      <c r="U6" s="60" t="str">
        <f t="shared" ca="1" si="2"/>
        <v>Claudio Mastrangelo RS</v>
      </c>
      <c r="W6" s="60" t="str">
        <f t="shared" si="3"/>
        <v/>
      </c>
      <c r="X6" s="60" t="str">
        <f t="shared" ca="1" si="4"/>
        <v>Claudio Jr MG</v>
      </c>
      <c r="Y6" s="60" t="str">
        <f t="shared" ca="1" si="5"/>
        <v>Claudio Mastrangelo RS</v>
      </c>
      <c r="Z6" s="60" t="str">
        <f t="shared" si="6"/>
        <v/>
      </c>
      <c r="AA6" s="60" t="str">
        <f t="shared" ca="1" si="7"/>
        <v>Claudio Jr MG</v>
      </c>
      <c r="AB6" s="60">
        <f t="shared" si="8"/>
        <v>4</v>
      </c>
      <c r="AC6" s="60" t="str">
        <f t="shared" ca="1" si="9"/>
        <v>Claudio Mastrangelo RS</v>
      </c>
      <c r="AD6" s="60">
        <f t="shared" si="10"/>
        <v>4</v>
      </c>
      <c r="AE6" s="60">
        <f t="shared" si="11"/>
        <v>4</v>
      </c>
    </row>
    <row r="7" spans="1:31" x14ac:dyDescent="0.3">
      <c r="A7" s="56">
        <v>3</v>
      </c>
      <c r="B7" s="73" t="str">
        <f ca="1">IFERROR(IF($R$2,VLOOKUP($A7,ClassGrupFases!$C$69:$D$100,2,FALSE),""),"")</f>
        <v>Almo PR</v>
      </c>
      <c r="C7" s="74">
        <v>3</v>
      </c>
      <c r="D7" s="70" t="s">
        <v>23</v>
      </c>
      <c r="E7" s="74">
        <v>1</v>
      </c>
      <c r="F7" s="71" t="str">
        <f ca="1">IFERROR(IF($R$2,VLOOKUP($G7,ClassGrupFases!$C$69:$D$100,2,FALSE),""),"")</f>
        <v>Marcelo Aranha SP</v>
      </c>
      <c r="G7" s="72">
        <v>30</v>
      </c>
      <c r="H7" s="70">
        <v>19</v>
      </c>
      <c r="I7" s="70"/>
      <c r="J7" s="70"/>
      <c r="K7" s="70"/>
      <c r="M7" s="57">
        <f ca="1">IFERROR(_xlfn.RANK.EQ(O7, O5:O20, 0), "")</f>
        <v>3</v>
      </c>
      <c r="N7" s="58" t="str">
        <f t="shared" ca="1" si="0"/>
        <v>Almo PR</v>
      </c>
      <c r="O7" s="57">
        <f ca="1">IF(OR(C7="", E7=""), "", VLOOKUP(N7, ClassGrupFases!$D$6:$AA$57, 24, 0))</f>
        <v>72.339656258518531</v>
      </c>
      <c r="Q7" s="56">
        <f ca="1">IFERROR(_xlfn.RANK.EQ(S7, S5:S20, 0) + 16, "")</f>
        <v>30</v>
      </c>
      <c r="R7" s="59" t="str">
        <f t="shared" ca="1" si="1"/>
        <v>Marcelo Aranha SP</v>
      </c>
      <c r="S7" s="56">
        <f ca="1">IF(OR(C7="", E7=""), "", VLOOKUP(R7, ClassGrupFases!$D$6:$AA$57, 24, 0))</f>
        <v>39.095661487037034</v>
      </c>
      <c r="U7" s="60" t="str">
        <f t="shared" ca="1" si="2"/>
        <v>Marcelo Aranha SP</v>
      </c>
      <c r="W7" s="60" t="str">
        <f t="shared" ca="1" si="3"/>
        <v>Almo PR</v>
      </c>
      <c r="X7" s="60" t="str">
        <f t="shared" si="4"/>
        <v/>
      </c>
      <c r="Y7" s="60" t="str">
        <f t="shared" si="5"/>
        <v/>
      </c>
      <c r="Z7" s="60" t="str">
        <f t="shared" ca="1" si="6"/>
        <v>Marcelo Aranha SP</v>
      </c>
      <c r="AA7" s="60" t="str">
        <f t="shared" ca="1" si="7"/>
        <v>Almo PR</v>
      </c>
      <c r="AB7" s="60">
        <f t="shared" si="8"/>
        <v>3</v>
      </c>
      <c r="AC7" s="60" t="str">
        <f t="shared" ca="1" si="9"/>
        <v>Marcelo Aranha SP</v>
      </c>
      <c r="AD7" s="60">
        <f t="shared" si="10"/>
        <v>1</v>
      </c>
      <c r="AE7" s="60">
        <f t="shared" si="11"/>
        <v>3</v>
      </c>
    </row>
    <row r="8" spans="1:31" x14ac:dyDescent="0.3">
      <c r="A8" s="56">
        <v>4</v>
      </c>
      <c r="B8" s="61" t="str">
        <f ca="1">IFERROR(IF($R$2,VLOOKUP($A8,ClassGrupFases!$C$69:$D$100,2,FALSE),""),"")</f>
        <v>Thiago Matoso RJ</v>
      </c>
      <c r="C8" s="74">
        <v>3</v>
      </c>
      <c r="D8" s="33" t="s">
        <v>23</v>
      </c>
      <c r="E8" s="74">
        <v>1</v>
      </c>
      <c r="F8" s="34" t="str">
        <f ca="1">IFERROR(IF($R$2,VLOOKUP($G8,ClassGrupFases!$C$69:$D$100,2,FALSE),""),"")</f>
        <v>Cléo Jr SP</v>
      </c>
      <c r="G8" s="56">
        <v>29</v>
      </c>
      <c r="H8" s="33">
        <v>20</v>
      </c>
      <c r="M8" s="57">
        <f ca="1">IFERROR(_xlfn.RANK.EQ(O8, O5:O20, 0), "")</f>
        <v>4</v>
      </c>
      <c r="N8" s="58" t="str">
        <f t="shared" ca="1" si="0"/>
        <v>Thiago Matoso RJ</v>
      </c>
      <c r="O8" s="57">
        <f ca="1">IF(OR(C8="", E8=""), "", VLOOKUP(N8, ClassGrupFases!$D$6:$AA$57, 24, 0))</f>
        <v>70.377503566666661</v>
      </c>
      <c r="Q8" s="56">
        <f ca="1">IFERROR(_xlfn.RANK.EQ(S8, S5:S20, 0) + 16, "")</f>
        <v>29</v>
      </c>
      <c r="R8" s="59" t="str">
        <f t="shared" ca="1" si="1"/>
        <v>Cléo Jr SP</v>
      </c>
      <c r="S8" s="56">
        <f ca="1">IF(OR(C8="", E8=""), "", VLOOKUP(R8, ClassGrupFases!$D$6:$AA$57, 24, 0))</f>
        <v>41.048113618888884</v>
      </c>
      <c r="U8" s="60" t="str">
        <f t="shared" ca="1" si="2"/>
        <v>Cléo Jr SP</v>
      </c>
      <c r="W8" s="60" t="str">
        <f t="shared" ca="1" si="3"/>
        <v>Thiago Matoso RJ</v>
      </c>
      <c r="X8" s="60" t="str">
        <f t="shared" si="4"/>
        <v/>
      </c>
      <c r="Y8" s="60" t="str">
        <f t="shared" si="5"/>
        <v/>
      </c>
      <c r="Z8" s="60" t="str">
        <f t="shared" ca="1" si="6"/>
        <v>Cléo Jr SP</v>
      </c>
      <c r="AA8" s="60" t="str">
        <f t="shared" ca="1" si="7"/>
        <v>Thiago Matoso RJ</v>
      </c>
      <c r="AB8" s="60">
        <f t="shared" si="8"/>
        <v>3</v>
      </c>
      <c r="AC8" s="60" t="str">
        <f t="shared" ca="1" si="9"/>
        <v>Cléo Jr SP</v>
      </c>
      <c r="AD8" s="60">
        <f t="shared" si="10"/>
        <v>1</v>
      </c>
      <c r="AE8" s="60">
        <f t="shared" si="11"/>
        <v>3</v>
      </c>
    </row>
    <row r="9" spans="1:31" x14ac:dyDescent="0.3">
      <c r="A9" s="56">
        <v>5</v>
      </c>
      <c r="B9" s="73" t="str">
        <f ca="1">IFERROR(IF($R$2,VLOOKUP($A9,ClassGrupFases!$C$69:$D$100,2,FALSE),""),"")</f>
        <v>Willow SP</v>
      </c>
      <c r="C9" s="74">
        <v>2</v>
      </c>
      <c r="D9" s="70" t="s">
        <v>23</v>
      </c>
      <c r="E9" s="74">
        <v>0</v>
      </c>
      <c r="F9" s="71" t="str">
        <f ca="1">IFERROR(IF($R$2,VLOOKUP($G9,ClassGrupFases!$C$69:$D$100,2,FALSE),""),"")</f>
        <v>Gabriel Lisboa PA</v>
      </c>
      <c r="G9" s="72">
        <v>28</v>
      </c>
      <c r="H9" s="70">
        <v>21</v>
      </c>
      <c r="I9" s="70"/>
      <c r="J9" s="70"/>
      <c r="K9" s="70"/>
      <c r="M9" s="57">
        <f ca="1">IFERROR(_xlfn.RANK.EQ(O9, O5:O20, 0), "")</f>
        <v>5</v>
      </c>
      <c r="N9" s="58" t="str">
        <f t="shared" ca="1" si="0"/>
        <v>Willow SP</v>
      </c>
      <c r="O9" s="57">
        <f ca="1">IF(OR(C9="", E9=""), "", VLOOKUP(N9, ClassGrupFases!$D$6:$AA$57, 24, 0))</f>
        <v>68.416155304814794</v>
      </c>
      <c r="Q9" s="56">
        <f ca="1">IFERROR(_xlfn.RANK.EQ(S9, S5:S20, 0) + 16, "")</f>
        <v>28</v>
      </c>
      <c r="R9" s="59" t="str">
        <f t="shared" ca="1" si="1"/>
        <v>Gabriel Lisboa PA</v>
      </c>
      <c r="S9" s="56">
        <f ca="1">IF(OR(C9="", E9=""), "", VLOOKUP(R9, ClassGrupFases!$D$6:$AA$57, 24, 0))</f>
        <v>41.048411768888883</v>
      </c>
      <c r="U9" s="60" t="str">
        <f t="shared" ca="1" si="2"/>
        <v>Gabriel Lisboa PA</v>
      </c>
      <c r="W9" s="60" t="str">
        <f t="shared" ca="1" si="3"/>
        <v>Willow SP</v>
      </c>
      <c r="X9" s="60" t="str">
        <f t="shared" si="4"/>
        <v/>
      </c>
      <c r="Y9" s="60" t="str">
        <f t="shared" si="5"/>
        <v/>
      </c>
      <c r="Z9" s="60" t="str">
        <f t="shared" ca="1" si="6"/>
        <v>Gabriel Lisboa PA</v>
      </c>
      <c r="AA9" s="60" t="str">
        <f t="shared" ca="1" si="7"/>
        <v>Willow SP</v>
      </c>
      <c r="AB9" s="60">
        <f t="shared" si="8"/>
        <v>2</v>
      </c>
      <c r="AC9" s="60" t="str">
        <f t="shared" ca="1" si="9"/>
        <v>Gabriel Lisboa PA</v>
      </c>
      <c r="AD9" s="60">
        <f t="shared" si="10"/>
        <v>0</v>
      </c>
      <c r="AE9" s="60">
        <f t="shared" si="11"/>
        <v>2</v>
      </c>
    </row>
    <row r="10" spans="1:31" x14ac:dyDescent="0.3">
      <c r="A10" s="56">
        <v>6</v>
      </c>
      <c r="B10" s="61" t="str">
        <f ca="1">IFERROR(IF($R$2,VLOOKUP($A10,ClassGrupFases!$C$69:$D$100,2,FALSE),""),"")</f>
        <v>Eduardo Rocha RJ</v>
      </c>
      <c r="C10" s="74">
        <v>2</v>
      </c>
      <c r="D10" s="33" t="s">
        <v>23</v>
      </c>
      <c r="E10" s="74">
        <v>1</v>
      </c>
      <c r="F10" s="34" t="str">
        <f ca="1">IFERROR(IF($R$2,VLOOKUP($G10,ClassGrupFases!$C$69:$D$100,2,FALSE),""),"")</f>
        <v>Vitor Luiz</v>
      </c>
      <c r="G10" s="56">
        <v>27</v>
      </c>
      <c r="H10" s="33">
        <v>22</v>
      </c>
      <c r="M10" s="57">
        <f ca="1">IFERROR(_xlfn.RANK.EQ(O10, O5:O20, 0), "")</f>
        <v>6</v>
      </c>
      <c r="N10" s="58" t="str">
        <f t="shared" ca="1" si="0"/>
        <v>Eduardo Rocha RJ</v>
      </c>
      <c r="O10" s="57">
        <f ca="1">IF(OR(C10="", E10=""), "", VLOOKUP(N10, ClassGrupFases!$D$6:$AA$57, 24, 0))</f>
        <v>68.416057344814803</v>
      </c>
      <c r="Q10" s="56">
        <f ca="1">IFERROR(_xlfn.RANK.EQ(S10, S5:S20, 0) + 16, "")</f>
        <v>27</v>
      </c>
      <c r="R10" s="59" t="str">
        <f t="shared" ca="1" si="1"/>
        <v>Vitor Luiz</v>
      </c>
      <c r="S10" s="56">
        <f ca="1">IF(OR(C10="", E10=""), "", VLOOKUP(R10, ClassGrupFases!$D$6:$AA$57, 24, 0))</f>
        <v>43.000169200740736</v>
      </c>
      <c r="U10" s="60" t="str">
        <f t="shared" ca="1" si="2"/>
        <v>Vitor Luiz</v>
      </c>
      <c r="W10" s="60" t="str">
        <f t="shared" ca="1" si="3"/>
        <v>Eduardo Rocha RJ</v>
      </c>
      <c r="X10" s="60" t="str">
        <f t="shared" si="4"/>
        <v/>
      </c>
      <c r="Y10" s="60" t="str">
        <f t="shared" si="5"/>
        <v/>
      </c>
      <c r="Z10" s="60" t="str">
        <f t="shared" ca="1" si="6"/>
        <v>Vitor Luiz</v>
      </c>
      <c r="AA10" s="60" t="str">
        <f t="shared" ca="1" si="7"/>
        <v>Eduardo Rocha RJ</v>
      </c>
      <c r="AB10" s="60">
        <f t="shared" si="8"/>
        <v>2</v>
      </c>
      <c r="AC10" s="60" t="str">
        <f t="shared" ca="1" si="9"/>
        <v>Vitor Luiz</v>
      </c>
      <c r="AD10" s="60">
        <f t="shared" si="10"/>
        <v>1</v>
      </c>
      <c r="AE10" s="60">
        <f t="shared" si="11"/>
        <v>2</v>
      </c>
    </row>
    <row r="11" spans="1:31" x14ac:dyDescent="0.3">
      <c r="A11" s="56">
        <v>7</v>
      </c>
      <c r="B11" s="73" t="str">
        <f ca="1">IFERROR(IF($R$2,VLOOKUP($A11,ClassGrupFases!$C$69:$D$100,2,FALSE),""),"")</f>
        <v>Kaka RJ</v>
      </c>
      <c r="C11" s="74">
        <v>5</v>
      </c>
      <c r="D11" s="70" t="s">
        <v>23</v>
      </c>
      <c r="E11" s="74">
        <v>0</v>
      </c>
      <c r="F11" s="71" t="str">
        <f ca="1">IFERROR(IF($R$2,VLOOKUP($G11,ClassGrupFases!$C$69:$D$100,2,FALSE),""),"")</f>
        <v>Alysson RJ</v>
      </c>
      <c r="G11" s="72">
        <v>26</v>
      </c>
      <c r="H11" s="70">
        <v>23</v>
      </c>
      <c r="I11" s="70"/>
      <c r="J11" s="70"/>
      <c r="K11" s="70"/>
      <c r="M11" s="57">
        <f ca="1">IFERROR(_xlfn.RANK.EQ(O11, O5:O20, 0), "")</f>
        <v>7</v>
      </c>
      <c r="N11" s="58" t="str">
        <f t="shared" ca="1" si="0"/>
        <v>Kaka RJ</v>
      </c>
      <c r="O11" s="57">
        <f ca="1">IF(OR(C11="", E11=""), "", VLOOKUP(N11, ClassGrupFases!$D$6:$AA$57, 24, 0))</f>
        <v>66.473604712962967</v>
      </c>
      <c r="Q11" s="56">
        <f ca="1">IFERROR(_xlfn.RANK.EQ(S11, S5:S20, 0) + 16, "")</f>
        <v>26</v>
      </c>
      <c r="R11" s="59" t="str">
        <f t="shared" ca="1" si="1"/>
        <v>Alysson RJ</v>
      </c>
      <c r="S11" s="56">
        <f ca="1">IF(OR(C11="", E11=""), "", VLOOKUP(R11, ClassGrupFases!$D$6:$AA$57, 24, 0))</f>
        <v>43.000170400740743</v>
      </c>
      <c r="U11" s="60" t="str">
        <f t="shared" ca="1" si="2"/>
        <v>Alysson RJ</v>
      </c>
      <c r="W11" s="60" t="str">
        <f t="shared" ca="1" si="3"/>
        <v>Kaka RJ</v>
      </c>
      <c r="X11" s="60" t="str">
        <f t="shared" si="4"/>
        <v/>
      </c>
      <c r="Y11" s="60" t="str">
        <f t="shared" si="5"/>
        <v/>
      </c>
      <c r="Z11" s="60" t="str">
        <f t="shared" ca="1" si="6"/>
        <v>Alysson RJ</v>
      </c>
      <c r="AA11" s="60" t="str">
        <f t="shared" ca="1" si="7"/>
        <v>Kaka RJ</v>
      </c>
      <c r="AB11" s="60">
        <f t="shared" si="8"/>
        <v>5</v>
      </c>
      <c r="AC11" s="60" t="str">
        <f t="shared" ca="1" si="9"/>
        <v>Alysson RJ</v>
      </c>
      <c r="AD11" s="60">
        <f t="shared" si="10"/>
        <v>0</v>
      </c>
      <c r="AE11" s="60">
        <f t="shared" si="11"/>
        <v>5</v>
      </c>
    </row>
    <row r="12" spans="1:31" x14ac:dyDescent="0.3">
      <c r="A12" s="56">
        <v>8</v>
      </c>
      <c r="B12" s="61" t="str">
        <f ca="1">IFERROR(IF($R$2,VLOOKUP($A12,ClassGrupFases!$C$69:$D$100,2,FALSE),""),"")</f>
        <v>Elsio SP</v>
      </c>
      <c r="C12" s="74">
        <v>6</v>
      </c>
      <c r="D12" s="33" t="s">
        <v>23</v>
      </c>
      <c r="E12" s="74">
        <v>3</v>
      </c>
      <c r="F12" s="34" t="str">
        <f ca="1">IFERROR(IF($R$2,VLOOKUP($G12,ClassGrupFases!$C$69:$D$100,2,FALSE),""),"")</f>
        <v>André Araújo AM</v>
      </c>
      <c r="G12" s="56">
        <v>25</v>
      </c>
      <c r="H12" s="33">
        <v>24</v>
      </c>
      <c r="M12" s="57">
        <f ca="1">IFERROR(_xlfn.RANK.EQ(O12, O5:O20, 0), "")</f>
        <v>8</v>
      </c>
      <c r="N12" s="58" t="str">
        <f t="shared" ca="1" si="0"/>
        <v>Elsio SP</v>
      </c>
      <c r="O12" s="57">
        <f ca="1">IF(OR(C12="", E12=""), "", VLOOKUP(N12, ClassGrupFases!$D$6:$AA$57, 24, 0))</f>
        <v>64.512351591111113</v>
      </c>
      <c r="Q12" s="56">
        <f ca="1">IFERROR(_xlfn.RANK.EQ(S12, S5:S20, 0) + 16, "")</f>
        <v>25</v>
      </c>
      <c r="R12" s="59" t="str">
        <f t="shared" ca="1" si="1"/>
        <v>André Araújo AM</v>
      </c>
      <c r="S12" s="56">
        <f ca="1">IF(OR(C12="", E12=""), "", VLOOKUP(R12, ClassGrupFases!$D$6:$AA$57, 24, 0))</f>
        <v>44.962020162592587</v>
      </c>
      <c r="U12" s="60" t="str">
        <f t="shared" ca="1" si="2"/>
        <v>André Araújo AM</v>
      </c>
      <c r="W12" s="60" t="str">
        <f t="shared" ca="1" si="3"/>
        <v>Elsio SP</v>
      </c>
      <c r="X12" s="60" t="str">
        <f t="shared" si="4"/>
        <v/>
      </c>
      <c r="Y12" s="60" t="str">
        <f t="shared" si="5"/>
        <v/>
      </c>
      <c r="Z12" s="60" t="str">
        <f t="shared" ca="1" si="6"/>
        <v>André Araújo AM</v>
      </c>
      <c r="AA12" s="60" t="str">
        <f t="shared" ca="1" si="7"/>
        <v>Elsio SP</v>
      </c>
      <c r="AB12" s="60">
        <f t="shared" si="8"/>
        <v>6</v>
      </c>
      <c r="AC12" s="60" t="str">
        <f t="shared" ca="1" si="9"/>
        <v>André Araújo AM</v>
      </c>
      <c r="AD12" s="60">
        <f t="shared" si="10"/>
        <v>3</v>
      </c>
      <c r="AE12" s="60">
        <f t="shared" si="11"/>
        <v>6</v>
      </c>
    </row>
    <row r="13" spans="1:31" x14ac:dyDescent="0.3">
      <c r="A13" s="56">
        <v>9</v>
      </c>
      <c r="B13" s="73" t="str">
        <f ca="1">IFERROR(IF($R$2,VLOOKUP($A13,ClassGrupFases!$C$69:$D$100,2,FALSE),""),"")</f>
        <v>Capela SC</v>
      </c>
      <c r="C13" s="74">
        <v>4</v>
      </c>
      <c r="D13" s="70" t="s">
        <v>23</v>
      </c>
      <c r="E13" s="74">
        <v>2</v>
      </c>
      <c r="F13" s="71" t="str">
        <f ca="1">IFERROR(IF($R$2,VLOOKUP($G13,ClassGrupFases!$C$69:$D$100,2,FALSE),""),"")</f>
        <v>Diogo SP</v>
      </c>
      <c r="G13" s="72">
        <v>24</v>
      </c>
      <c r="H13" s="70">
        <v>25</v>
      </c>
      <c r="I13" s="70"/>
      <c r="J13" s="70"/>
      <c r="K13" s="70"/>
      <c r="M13" s="57">
        <f ca="1">IFERROR(_xlfn.RANK.EQ(O13, O5:O20, 0), "")</f>
        <v>9</v>
      </c>
      <c r="N13" s="58" t="str">
        <f t="shared" ca="1" si="0"/>
        <v>Capela SC</v>
      </c>
      <c r="O13" s="57">
        <f ca="1">IF(OR(C13="", E13=""), "", VLOOKUP(N13, ClassGrupFases!$D$6:$AA$57, 24, 0))</f>
        <v>64.511644951111123</v>
      </c>
      <c r="Q13" s="56">
        <f ca="1">IFERROR(_xlfn.RANK.EQ(S13, S5:S20, 0) + 16, "")</f>
        <v>24</v>
      </c>
      <c r="R13" s="59" t="str">
        <f t="shared" ca="1" si="1"/>
        <v>Diogo SP</v>
      </c>
      <c r="S13" s="56">
        <f ca="1">IF(OR(C13="", E13=""), "", VLOOKUP(R13, ClassGrupFases!$D$6:$AA$57, 24, 0))</f>
        <v>44.962122412592592</v>
      </c>
      <c r="U13" s="60" t="str">
        <f t="shared" ca="1" si="2"/>
        <v>Diogo SP</v>
      </c>
      <c r="W13" s="60" t="str">
        <f t="shared" ca="1" si="3"/>
        <v>Capela SC</v>
      </c>
      <c r="X13" s="60" t="str">
        <f t="shared" si="4"/>
        <v/>
      </c>
      <c r="Y13" s="60" t="str">
        <f t="shared" si="5"/>
        <v/>
      </c>
      <c r="Z13" s="60" t="str">
        <f t="shared" ca="1" si="6"/>
        <v>Diogo SP</v>
      </c>
      <c r="AA13" s="60" t="str">
        <f t="shared" ca="1" si="7"/>
        <v>Capela SC</v>
      </c>
      <c r="AB13" s="60">
        <f t="shared" si="8"/>
        <v>4</v>
      </c>
      <c r="AC13" s="60" t="str">
        <f t="shared" ca="1" si="9"/>
        <v>Diogo SP</v>
      </c>
      <c r="AD13" s="60">
        <f t="shared" si="10"/>
        <v>2</v>
      </c>
      <c r="AE13" s="60">
        <f t="shared" si="11"/>
        <v>4</v>
      </c>
    </row>
    <row r="14" spans="1:31" x14ac:dyDescent="0.3">
      <c r="A14" s="56">
        <v>10</v>
      </c>
      <c r="B14" s="61" t="str">
        <f ca="1">IFERROR(IF($R$2,VLOOKUP($A14,ClassGrupFases!$C$69:$D$100,2,FALSE),""),"")</f>
        <v>Alex Lage MG</v>
      </c>
      <c r="C14" s="74">
        <v>5</v>
      </c>
      <c r="D14" s="33" t="s">
        <v>23</v>
      </c>
      <c r="E14" s="74">
        <v>3</v>
      </c>
      <c r="F14" s="34" t="str">
        <f ca="1">IFERROR(IF($R$2,VLOOKUP($G14,ClassGrupFases!$C$69:$D$100,2,FALSE),""),"")</f>
        <v>Renato Souza MG</v>
      </c>
      <c r="G14" s="56">
        <v>23</v>
      </c>
      <c r="H14" s="33">
        <v>26</v>
      </c>
      <c r="M14" s="57">
        <f ca="1">IFERROR(_xlfn.RANK.EQ(O14, O5:O20, 0), "")</f>
        <v>10</v>
      </c>
      <c r="N14" s="58" t="str">
        <f t="shared" ca="1" si="0"/>
        <v>Alex Lage MG</v>
      </c>
      <c r="O14" s="57">
        <f ca="1">IF(OR(C14="", E14=""), "", VLOOKUP(N14, ClassGrupFases!$D$6:$AA$57, 24, 0))</f>
        <v>62.550196839259257</v>
      </c>
      <c r="Q14" s="56">
        <f ca="1">IFERROR(_xlfn.RANK.EQ(S14, S5:S20, 0) + 16, "")</f>
        <v>23</v>
      </c>
      <c r="R14" s="59" t="str">
        <f t="shared" ca="1" si="1"/>
        <v>Renato Souza MG</v>
      </c>
      <c r="S14" s="56">
        <f ca="1">IF(OR(C14="", E14=""), "", VLOOKUP(R14, ClassGrupFases!$D$6:$AA$57, 24, 0))</f>
        <v>44.963126232592586</v>
      </c>
      <c r="U14" s="60" t="str">
        <f t="shared" ca="1" si="2"/>
        <v>Renato Souza MG</v>
      </c>
      <c r="W14" s="60" t="str">
        <f t="shared" ca="1" si="3"/>
        <v>Alex Lage MG</v>
      </c>
      <c r="X14" s="60" t="str">
        <f t="shared" si="4"/>
        <v/>
      </c>
      <c r="Y14" s="60" t="str">
        <f t="shared" si="5"/>
        <v/>
      </c>
      <c r="Z14" s="60" t="str">
        <f t="shared" ca="1" si="6"/>
        <v>Renato Souza MG</v>
      </c>
      <c r="AA14" s="60" t="str">
        <f t="shared" ca="1" si="7"/>
        <v>Alex Lage MG</v>
      </c>
      <c r="AB14" s="60">
        <f t="shared" si="8"/>
        <v>5</v>
      </c>
      <c r="AC14" s="60" t="str">
        <f t="shared" ca="1" si="9"/>
        <v>Renato Souza MG</v>
      </c>
      <c r="AD14" s="60">
        <f t="shared" si="10"/>
        <v>3</v>
      </c>
      <c r="AE14" s="60">
        <f t="shared" si="11"/>
        <v>5</v>
      </c>
    </row>
    <row r="15" spans="1:31" x14ac:dyDescent="0.3">
      <c r="A15" s="56">
        <v>11</v>
      </c>
      <c r="B15" s="73" t="str">
        <f ca="1">IFERROR(IF($R$2,VLOOKUP($A15,ClassGrupFases!$C$69:$D$100,2,FALSE),""),"")</f>
        <v>Tavares RJ</v>
      </c>
      <c r="C15" s="74">
        <v>1</v>
      </c>
      <c r="D15" s="70" t="s">
        <v>23</v>
      </c>
      <c r="E15" s="74">
        <v>2</v>
      </c>
      <c r="F15" s="71" t="str">
        <f ca="1">IFERROR(IF($R$2,VLOOKUP($G15,ClassGrupFases!$C$69:$D$100,2,FALSE),""),"")</f>
        <v>Mário Bürguel RS</v>
      </c>
      <c r="G15" s="72">
        <v>22</v>
      </c>
      <c r="H15" s="70">
        <v>27</v>
      </c>
      <c r="I15" s="70"/>
      <c r="J15" s="70"/>
      <c r="K15" s="70"/>
      <c r="M15" s="57">
        <f ca="1">IFERROR(_xlfn.RANK.EQ(O15, O5:O20, 0), "")</f>
        <v>16</v>
      </c>
      <c r="N15" s="58" t="str">
        <f t="shared" ca="1" si="0"/>
        <v>Mário Bürguel RS</v>
      </c>
      <c r="O15" s="57">
        <f ca="1">IF(OR(C15="", E15=""), "", VLOOKUP(N15, ClassGrupFases!$D$6:$AA$57, 24, 0))</f>
        <v>46.913475374444438</v>
      </c>
      <c r="Q15" s="56">
        <f ca="1">IFERROR(_xlfn.RANK.EQ(S15, S5:S20, 0) + 16, "")</f>
        <v>17</v>
      </c>
      <c r="R15" s="59" t="str">
        <f t="shared" ca="1" si="1"/>
        <v>Tavares RJ</v>
      </c>
      <c r="S15" s="56">
        <f ca="1">IF(OR(C15="", E15=""), "", VLOOKUP(R15, ClassGrupFases!$D$6:$AA$57, 24, 0))</f>
        <v>60.598344847407411</v>
      </c>
      <c r="U15" s="60" t="str">
        <f t="shared" ca="1" si="2"/>
        <v>Mário Bürguel RS</v>
      </c>
      <c r="W15" s="60" t="str">
        <f t="shared" ca="1" si="3"/>
        <v>Mário Bürguel RS</v>
      </c>
      <c r="X15" s="60" t="str">
        <f t="shared" si="4"/>
        <v/>
      </c>
      <c r="Y15" s="60" t="str">
        <f t="shared" si="5"/>
        <v/>
      </c>
      <c r="Z15" s="60" t="str">
        <f t="shared" ca="1" si="6"/>
        <v>Tavares RJ</v>
      </c>
      <c r="AA15" s="60" t="str">
        <f t="shared" ca="1" si="7"/>
        <v>Tavares RJ</v>
      </c>
      <c r="AB15" s="60">
        <f t="shared" si="8"/>
        <v>1</v>
      </c>
      <c r="AC15" s="60" t="str">
        <f t="shared" ca="1" si="9"/>
        <v>Mário Bürguel RS</v>
      </c>
      <c r="AD15" s="60">
        <f t="shared" si="10"/>
        <v>2</v>
      </c>
      <c r="AE15" s="60">
        <f t="shared" si="11"/>
        <v>1</v>
      </c>
    </row>
    <row r="16" spans="1:31" x14ac:dyDescent="0.3">
      <c r="A16" s="56">
        <v>12</v>
      </c>
      <c r="B16" s="61" t="str">
        <f ca="1">IFERROR(IF($R$2,VLOOKUP($A16,ClassGrupFases!$C$69:$D$100,2,FALSE),""),"")</f>
        <v>João Carlos RJ</v>
      </c>
      <c r="C16" s="74">
        <v>1</v>
      </c>
      <c r="D16" s="33" t="s">
        <v>23</v>
      </c>
      <c r="E16" s="74">
        <v>1</v>
      </c>
      <c r="F16" s="34" t="str">
        <f ca="1">IFERROR(IF($R$2,VLOOKUP($G16,ClassGrupFases!$C$69:$D$100,2,FALSE),""),"")</f>
        <v>Afonso SP</v>
      </c>
      <c r="G16" s="56">
        <v>21</v>
      </c>
      <c r="H16" s="33">
        <v>28</v>
      </c>
      <c r="M16" s="57">
        <f ca="1">IFERROR(_xlfn.RANK.EQ(O16, O5:O20, 0), "")</f>
        <v>11</v>
      </c>
      <c r="N16" s="58" t="str">
        <f t="shared" ca="1" si="0"/>
        <v>João Carlos RJ</v>
      </c>
      <c r="O16" s="57">
        <f ca="1">IF(OR(C16="", E16=""), "", VLOOKUP(N16, ClassGrupFases!$D$6:$AA$57, 24, 0))</f>
        <v>58.655998115555562</v>
      </c>
      <c r="Q16" s="56">
        <f ca="1">IFERROR(_xlfn.RANK.EQ(S16, S5:S20, 0) + 16, "")</f>
        <v>22</v>
      </c>
      <c r="R16" s="59" t="str">
        <f t="shared" ca="1" si="1"/>
        <v>Afonso SP</v>
      </c>
      <c r="S16" s="56">
        <f ca="1">IF(OR(C16="", E16=""), "", VLOOKUP(R16, ClassGrupFases!$D$6:$AA$57, 24, 0))</f>
        <v>46.913567164444437</v>
      </c>
      <c r="U16" s="60" t="str">
        <f t="shared" ca="1" si="2"/>
        <v>Afonso SP</v>
      </c>
      <c r="W16" s="60" t="str">
        <f t="shared" si="3"/>
        <v/>
      </c>
      <c r="X16" s="60" t="str">
        <f t="shared" ca="1" si="4"/>
        <v>João Carlos RJ</v>
      </c>
      <c r="Y16" s="60" t="str">
        <f t="shared" ca="1" si="5"/>
        <v>Afonso SP</v>
      </c>
      <c r="Z16" s="60" t="str">
        <f t="shared" si="6"/>
        <v/>
      </c>
      <c r="AA16" s="60" t="str">
        <f t="shared" ca="1" si="7"/>
        <v>João Carlos RJ</v>
      </c>
      <c r="AB16" s="60">
        <f t="shared" si="8"/>
        <v>1</v>
      </c>
      <c r="AC16" s="60" t="str">
        <f t="shared" ca="1" si="9"/>
        <v>Afonso SP</v>
      </c>
      <c r="AD16" s="60">
        <f t="shared" si="10"/>
        <v>1</v>
      </c>
      <c r="AE16" s="60">
        <f t="shared" si="11"/>
        <v>1</v>
      </c>
    </row>
    <row r="17" spans="1:31" x14ac:dyDescent="0.3">
      <c r="A17" s="56">
        <v>13</v>
      </c>
      <c r="B17" s="73" t="str">
        <f ca="1">IFERROR(IF($R$2,VLOOKUP($A17,ClassGrupFases!$C$69:$D$100,2,FALSE),""),"")</f>
        <v>Lian MG</v>
      </c>
      <c r="C17" s="74">
        <v>2</v>
      </c>
      <c r="D17" s="70" t="s">
        <v>23</v>
      </c>
      <c r="E17" s="74">
        <v>2</v>
      </c>
      <c r="F17" s="71" t="str">
        <f ca="1">IFERROR(IF($R$2,VLOOKUP($G17,ClassGrupFases!$C$69:$D$100,2,FALSE),""),"")</f>
        <v>Tabajara SP</v>
      </c>
      <c r="G17" s="72">
        <v>20</v>
      </c>
      <c r="H17" s="70">
        <v>29</v>
      </c>
      <c r="I17" s="70"/>
      <c r="J17" s="70"/>
      <c r="K17" s="70"/>
      <c r="M17" s="57">
        <f ca="1">IFERROR(_xlfn.RANK.EQ(O17, O5:O20, 0), "")</f>
        <v>12</v>
      </c>
      <c r="N17" s="58" t="str">
        <f t="shared" ca="1" si="0"/>
        <v>Lian MG</v>
      </c>
      <c r="O17" s="57">
        <f ca="1">IF(OR(C17="", E17=""), "", VLOOKUP(N17, ClassGrupFases!$D$6:$AA$57, 24, 0))</f>
        <v>58.646798365555561</v>
      </c>
      <c r="Q17" s="56">
        <f ca="1">IFERROR(_xlfn.RANK.EQ(S17, S5:S20, 0) + 16, "")</f>
        <v>21</v>
      </c>
      <c r="R17" s="59" t="str">
        <f t="shared" ca="1" si="1"/>
        <v>Tabajara SP</v>
      </c>
      <c r="S17" s="56">
        <f ca="1">IF(OR(C17="", E17=""), "", VLOOKUP(R17, ClassGrupFases!$D$6:$AA$57, 24, 0))</f>
        <v>50.81918776814814</v>
      </c>
      <c r="U17" s="60" t="str">
        <f t="shared" ca="1" si="2"/>
        <v>Tabajara SP</v>
      </c>
      <c r="W17" s="60" t="str">
        <f t="shared" si="3"/>
        <v/>
      </c>
      <c r="X17" s="60" t="str">
        <f t="shared" ca="1" si="4"/>
        <v>Lian MG</v>
      </c>
      <c r="Y17" s="60" t="str">
        <f t="shared" ca="1" si="5"/>
        <v>Tabajara SP</v>
      </c>
      <c r="Z17" s="60" t="str">
        <f t="shared" si="6"/>
        <v/>
      </c>
      <c r="AA17" s="60" t="str">
        <f t="shared" ca="1" si="7"/>
        <v>Lian MG</v>
      </c>
      <c r="AB17" s="60">
        <f t="shared" si="8"/>
        <v>2</v>
      </c>
      <c r="AC17" s="60" t="str">
        <f t="shared" ca="1" si="9"/>
        <v>Tabajara SP</v>
      </c>
      <c r="AD17" s="60">
        <f t="shared" si="10"/>
        <v>2</v>
      </c>
      <c r="AE17" s="60">
        <f t="shared" si="11"/>
        <v>2</v>
      </c>
    </row>
    <row r="18" spans="1:31" x14ac:dyDescent="0.3">
      <c r="A18" s="56">
        <v>14</v>
      </c>
      <c r="B18" s="61" t="str">
        <f ca="1">IFERROR(IF($R$2,VLOOKUP($A18,ClassGrupFases!$C$69:$D$100,2,FALSE),""),"")</f>
        <v>João Paulo MG</v>
      </c>
      <c r="C18" s="74">
        <v>5</v>
      </c>
      <c r="D18" s="33" t="s">
        <v>23</v>
      </c>
      <c r="E18" s="74">
        <v>1</v>
      </c>
      <c r="F18" s="34" t="str">
        <f ca="1">IFERROR(IF($R$2,VLOOKUP($G18,ClassGrupFases!$C$69:$D$100,2,FALSE),""),"")</f>
        <v>Israel RJ</v>
      </c>
      <c r="G18" s="56">
        <v>19</v>
      </c>
      <c r="H18" s="33">
        <v>30</v>
      </c>
      <c r="M18" s="57">
        <f ca="1">IFERROR(_xlfn.RANK.EQ(O18, O5:O20, 0), "")</f>
        <v>13</v>
      </c>
      <c r="N18" s="58" t="str">
        <f t="shared" ca="1" si="0"/>
        <v>João Paulo MG</v>
      </c>
      <c r="O18" s="57">
        <f ca="1">IF(OR(C18="", E18=""), "", VLOOKUP(N18, ClassGrupFases!$D$6:$AA$57, 24, 0))</f>
        <v>58.636483225555558</v>
      </c>
      <c r="Q18" s="56">
        <f ca="1">IFERROR(_xlfn.RANK.EQ(S18, S5:S20, 0) + 16, "")</f>
        <v>20</v>
      </c>
      <c r="R18" s="59" t="str">
        <f t="shared" ca="1" si="1"/>
        <v>Israel RJ</v>
      </c>
      <c r="S18" s="56">
        <f ca="1">IF(OR(C18="", E18=""), "", VLOOKUP(R18, ClassGrupFases!$D$6:$AA$57, 24, 0))</f>
        <v>52.779436629999999</v>
      </c>
      <c r="U18" s="60" t="str">
        <f t="shared" ca="1" si="2"/>
        <v>Israel RJ</v>
      </c>
      <c r="W18" s="60" t="str">
        <f t="shared" ca="1" si="3"/>
        <v>João Paulo MG</v>
      </c>
      <c r="X18" s="60" t="str">
        <f t="shared" si="4"/>
        <v/>
      </c>
      <c r="Y18" s="60" t="str">
        <f t="shared" si="5"/>
        <v/>
      </c>
      <c r="Z18" s="60" t="str">
        <f t="shared" ca="1" si="6"/>
        <v>Israel RJ</v>
      </c>
      <c r="AA18" s="60" t="str">
        <f t="shared" ca="1" si="7"/>
        <v>João Paulo MG</v>
      </c>
      <c r="AB18" s="60">
        <f t="shared" si="8"/>
        <v>5</v>
      </c>
      <c r="AC18" s="60" t="str">
        <f t="shared" ca="1" si="9"/>
        <v>Israel RJ</v>
      </c>
      <c r="AD18" s="60">
        <f t="shared" si="10"/>
        <v>1</v>
      </c>
      <c r="AE18" s="60">
        <f t="shared" si="11"/>
        <v>5</v>
      </c>
    </row>
    <row r="19" spans="1:31" x14ac:dyDescent="0.3">
      <c r="A19" s="56">
        <v>15</v>
      </c>
      <c r="B19" s="73" t="str">
        <f ca="1">IFERROR(IF($R$2,VLOOKUP($A19,ClassGrupFases!$C$69:$D$100,2,FALSE),""),"")</f>
        <v>Vinicius Rolim RJ</v>
      </c>
      <c r="C19" s="74">
        <v>2</v>
      </c>
      <c r="D19" s="70" t="s">
        <v>23</v>
      </c>
      <c r="E19" s="74">
        <v>1</v>
      </c>
      <c r="F19" s="71" t="str">
        <f ca="1">IFERROR(IF($R$2,VLOOKUP($G19,ClassGrupFases!$C$69:$D$100,2,FALSE),""),"")</f>
        <v>Marcelinho RJ</v>
      </c>
      <c r="G19" s="72">
        <v>18</v>
      </c>
      <c r="H19" s="70">
        <v>31</v>
      </c>
      <c r="I19" s="70"/>
      <c r="J19" s="70"/>
      <c r="K19" s="70"/>
      <c r="M19" s="57">
        <f ca="1">IFERROR(_xlfn.RANK.EQ(O19, O5:O20, 0), "")</f>
        <v>14</v>
      </c>
      <c r="N19" s="58" t="str">
        <f t="shared" ca="1" si="0"/>
        <v>Vinicius Rolim RJ</v>
      </c>
      <c r="O19" s="57">
        <f ca="1">IF(OR(C19="", E19=""), "", VLOOKUP(N19, ClassGrupFases!$D$6:$AA$57, 24, 0))</f>
        <v>56.684349253703708</v>
      </c>
      <c r="Q19" s="56">
        <f ca="1">IFERROR(_xlfn.RANK.EQ(S19, S5:S20, 0) + 16, "")</f>
        <v>19</v>
      </c>
      <c r="R19" s="59" t="str">
        <f t="shared" ca="1" si="1"/>
        <v>Marcelinho RJ</v>
      </c>
      <c r="S19" s="56">
        <f ca="1">IF(OR(C19="", E19=""), "", VLOOKUP(R19, ClassGrupFases!$D$6:$AA$57, 24, 0))</f>
        <v>54.72258770185185</v>
      </c>
      <c r="U19" s="60" t="str">
        <f t="shared" ca="1" si="2"/>
        <v>Marcelinho RJ</v>
      </c>
      <c r="W19" s="60" t="str">
        <f t="shared" ca="1" si="3"/>
        <v>Vinicius Rolim RJ</v>
      </c>
      <c r="X19" s="60" t="str">
        <f t="shared" si="4"/>
        <v/>
      </c>
      <c r="Y19" s="60" t="str">
        <f t="shared" si="5"/>
        <v/>
      </c>
      <c r="Z19" s="60" t="str">
        <f t="shared" ca="1" si="6"/>
        <v>Marcelinho RJ</v>
      </c>
      <c r="AA19" s="60" t="str">
        <f t="shared" ca="1" si="7"/>
        <v>Vinicius Rolim RJ</v>
      </c>
      <c r="AB19" s="60">
        <f t="shared" si="8"/>
        <v>2</v>
      </c>
      <c r="AC19" s="60" t="str">
        <f t="shared" ca="1" si="9"/>
        <v>Marcelinho RJ</v>
      </c>
      <c r="AD19" s="60">
        <f t="shared" si="10"/>
        <v>1</v>
      </c>
      <c r="AE19" s="60">
        <f t="shared" si="11"/>
        <v>2</v>
      </c>
    </row>
    <row r="20" spans="1:31" x14ac:dyDescent="0.3">
      <c r="A20" s="56">
        <v>16</v>
      </c>
      <c r="B20" s="61" t="str">
        <f ca="1">IFERROR(IF($R$2,VLOOKUP($A20,ClassGrupFases!$C$69:$D$100,2,FALSE),""),"")</f>
        <v>Roberto Giolo MS</v>
      </c>
      <c r="C20" s="74">
        <v>1</v>
      </c>
      <c r="D20" s="33" t="s">
        <v>23</v>
      </c>
      <c r="E20" s="74">
        <v>2</v>
      </c>
      <c r="F20" s="34" t="str">
        <f ca="1">IFERROR(IF($R$2,VLOOKUP($G20,ClassGrupFases!$C$69:$D$100,2,FALSE),""),"")</f>
        <v>Pablo Martins RJ</v>
      </c>
      <c r="G20" s="56">
        <v>17</v>
      </c>
      <c r="H20" s="33">
        <v>32</v>
      </c>
      <c r="M20" s="57">
        <f ca="1">IFERROR(_xlfn.RANK.EQ(O20, O5:O20, 0), "")</f>
        <v>15</v>
      </c>
      <c r="N20" s="58" t="str">
        <f t="shared" ca="1" si="0"/>
        <v>Pablo Martins RJ</v>
      </c>
      <c r="O20" s="57">
        <f ca="1">IF(OR(C20="", E20=""), "", VLOOKUP(N20, ClassGrupFases!$D$6:$AA$57, 24, 0))</f>
        <v>54.732283761851853</v>
      </c>
      <c r="Q20" s="56">
        <f ca="1">IFERROR(_xlfn.RANK.EQ(S20, S5:S20, 0) + 16, "")</f>
        <v>18</v>
      </c>
      <c r="R20" s="59" t="str">
        <f t="shared" ca="1" si="1"/>
        <v>Roberto Giolo MS</v>
      </c>
      <c r="S20" s="56">
        <f ca="1">IF(OR(C20="", E20=""), "", VLOOKUP(R20, ClassGrupFases!$D$6:$AA$57, 24, 0))</f>
        <v>54.742080681851853</v>
      </c>
      <c r="U20" s="60" t="str">
        <f t="shared" ca="1" si="2"/>
        <v>Pablo Martins RJ</v>
      </c>
      <c r="W20" s="60" t="str">
        <f t="shared" ca="1" si="3"/>
        <v>Pablo Martins RJ</v>
      </c>
      <c r="X20" s="60" t="str">
        <f t="shared" si="4"/>
        <v/>
      </c>
      <c r="Y20" s="60" t="str">
        <f t="shared" si="5"/>
        <v/>
      </c>
      <c r="Z20" s="60" t="str">
        <f t="shared" ca="1" si="6"/>
        <v>Roberto Giolo MS</v>
      </c>
      <c r="AA20" s="60" t="str">
        <f t="shared" ca="1" si="7"/>
        <v>Roberto Giolo MS</v>
      </c>
      <c r="AB20" s="60">
        <f t="shared" si="8"/>
        <v>1</v>
      </c>
      <c r="AC20" s="60" t="str">
        <f t="shared" ca="1" si="9"/>
        <v>Pablo Martins RJ</v>
      </c>
      <c r="AD20" s="60">
        <f t="shared" si="10"/>
        <v>2</v>
      </c>
      <c r="AE20" s="60">
        <f t="shared" si="11"/>
        <v>1</v>
      </c>
    </row>
    <row r="21" spans="1:31" ht="25.5" x14ac:dyDescent="0.5">
      <c r="B21" s="62" t="s">
        <v>97</v>
      </c>
      <c r="C21" s="62"/>
      <c r="D21" s="62"/>
      <c r="E21" s="62"/>
      <c r="F21" s="62"/>
      <c r="G21" s="62"/>
      <c r="H21" s="62"/>
      <c r="U21" s="60" t="s">
        <v>15</v>
      </c>
      <c r="V21" s="60" t="s">
        <v>15</v>
      </c>
      <c r="W21" s="60" t="s">
        <v>16</v>
      </c>
      <c r="X21" s="60" t="s">
        <v>17</v>
      </c>
      <c r="Y21" s="60" t="s">
        <v>17</v>
      </c>
      <c r="Z21" s="60" t="s">
        <v>18</v>
      </c>
      <c r="AA21" s="60" t="s">
        <v>19</v>
      </c>
      <c r="AB21" s="60" t="s">
        <v>20</v>
      </c>
      <c r="AC21" s="60" t="s">
        <v>16</v>
      </c>
      <c r="AD21" s="60" t="s">
        <v>21</v>
      </c>
      <c r="AE21" s="60" t="s">
        <v>22</v>
      </c>
    </row>
    <row r="22" spans="1:31" x14ac:dyDescent="0.3">
      <c r="B22" s="65" t="s">
        <v>93</v>
      </c>
      <c r="C22" s="65"/>
      <c r="D22" s="65"/>
      <c r="E22" s="65"/>
      <c r="F22" s="65"/>
      <c r="G22" s="65"/>
      <c r="H22" s="64" t="s">
        <v>94</v>
      </c>
      <c r="L22" s="63">
        <f>Jogos!K3 + TIME(0,180,0)</f>
        <v>44850.541666666664</v>
      </c>
      <c r="M22" s="67" t="s">
        <v>95</v>
      </c>
      <c r="N22" s="66"/>
      <c r="O22" s="66"/>
      <c r="Q22" s="69" t="s">
        <v>96</v>
      </c>
      <c r="R22" s="68"/>
      <c r="S22" s="68"/>
    </row>
    <row r="23" spans="1:31" x14ac:dyDescent="0.3">
      <c r="A23" s="56">
        <v>1</v>
      </c>
      <c r="B23" s="73" t="str">
        <f t="shared" ref="B23:B30" ca="1" si="12">IFERROR(VLOOKUP($A23,$M$5:$N$20, 2, FALSE), "")</f>
        <v>Gabriel RJ</v>
      </c>
      <c r="C23" s="74">
        <v>3</v>
      </c>
      <c r="D23" s="70" t="s">
        <v>23</v>
      </c>
      <c r="E23" s="74">
        <v>3</v>
      </c>
      <c r="F23" s="71" t="str">
        <f ca="1">IFERROR(VLOOKUP($G23,$M$5:$N$20, 2, FALSE), "")</f>
        <v>Mário Bürguel RS</v>
      </c>
      <c r="G23" s="72">
        <v>16</v>
      </c>
      <c r="H23" s="70">
        <v>17</v>
      </c>
      <c r="I23" s="70"/>
      <c r="J23" s="70"/>
      <c r="K23" s="70"/>
      <c r="M23" s="57">
        <f ca="1">IFERROR(_xlfn.RANK.EQ(O23, O23:O30, 0), "")</f>
        <v>1</v>
      </c>
      <c r="N23" s="58" t="str">
        <f t="shared" ref="N23:N30" ca="1" si="13">IF(OR(C23="", E23=""), "", IF(OR(C23&gt;E23, C23=E23), B23, F23))</f>
        <v>Gabriel RJ</v>
      </c>
      <c r="O23" s="57">
        <f ca="1">IF(OR(C23="", E23=""), "", VLOOKUP(N23, ClassGrupFases!$D$6:$AA$57, 24, 0))</f>
        <v>78.205623014074064</v>
      </c>
      <c r="Q23" s="56">
        <f ca="1">IFERROR(_xlfn.RANK.EQ(S23, S23:S30, 0) + 8, "")</f>
        <v>16</v>
      </c>
      <c r="R23" s="59" t="str">
        <f t="shared" ref="R23:R30" ca="1" si="14">IF(OR(C23="", E23=""), "", IF(OR(C23&gt;E23, C23=E23), F23, B23))</f>
        <v>Mário Bürguel RS</v>
      </c>
      <c r="S23" s="56">
        <f ca="1">IF(OR(C23="", E23=""), "", VLOOKUP(R23, ClassGrupFases!$D$6:$AA$57, 24, 0))</f>
        <v>46.913475374444438</v>
      </c>
      <c r="U23" s="60" t="str">
        <f t="shared" ref="U23:U30" ca="1" si="15">IF(OR(C23 = "",E23 = ""), "", F23)</f>
        <v>Mário Bürguel RS</v>
      </c>
      <c r="W23" s="60" t="str">
        <f t="shared" ref="W23:W30" si="16">IF(OR(C23 = "",E23 = ""), "", IF(C23&gt;E23,B23, IF(E23&gt;C23,F23, "")))</f>
        <v/>
      </c>
      <c r="X23" s="60" t="str">
        <f t="shared" ref="X23:X30" ca="1" si="17">IF(OR(C23 = "",E23 = ""), "", IF(C23=E23,B23, ""))</f>
        <v>Gabriel RJ</v>
      </c>
      <c r="Y23" s="60" t="str">
        <f t="shared" ref="Y23:Y30" ca="1" si="18">IF(OR(C23 = "",E23 = ""), "", IF(C23=E23,F23, ""))</f>
        <v>Mário Bürguel RS</v>
      </c>
      <c r="Z23" s="60" t="str">
        <f t="shared" ref="Z23:Z30" si="19">IF(OR(C23 = "",E23 = ""), "", IF(C23&gt;E23,F23, IF(E23&gt;C23,B23, "")))</f>
        <v/>
      </c>
      <c r="AA23" s="60" t="str">
        <f t="shared" ref="AA23:AA30" ca="1" si="20">IF(OR(C23 = "",E23 = ""), "", B23)</f>
        <v>Gabriel RJ</v>
      </c>
      <c r="AB23" s="60">
        <f t="shared" ref="AB23:AB30" si="21">IF(C23 = "", "", C23)</f>
        <v>3</v>
      </c>
      <c r="AC23" s="60" t="str">
        <f t="shared" ref="AC23:AC30" ca="1" si="22">IF(OR(C23 = "",E23 = ""), "", F23)</f>
        <v>Mário Bürguel RS</v>
      </c>
      <c r="AD23" s="60">
        <f t="shared" ref="AD23:AD30" si="23">IF(E23 = "", "", E23)</f>
        <v>3</v>
      </c>
      <c r="AE23" s="60">
        <f t="shared" ref="AE23:AE30" si="24">IF(C23 = "", "", C23)</f>
        <v>3</v>
      </c>
    </row>
    <row r="24" spans="1:31" x14ac:dyDescent="0.3">
      <c r="A24" s="56">
        <v>2</v>
      </c>
      <c r="B24" s="61" t="str">
        <f t="shared" ca="1" si="12"/>
        <v>Claudio Jr MG</v>
      </c>
      <c r="C24" s="74">
        <v>3</v>
      </c>
      <c r="D24" s="33" t="s">
        <v>23</v>
      </c>
      <c r="E24" s="74">
        <v>1</v>
      </c>
      <c r="F24" s="34" t="str">
        <f ca="1">IFERROR(VLOOKUP($G24,$M$5:$N$20, 2, FALSE), "")</f>
        <v>Pablo Martins RJ</v>
      </c>
      <c r="G24" s="56">
        <v>15</v>
      </c>
      <c r="H24" s="33">
        <v>18</v>
      </c>
      <c r="M24" s="57">
        <f ca="1">IFERROR(_xlfn.RANK.EQ(O24, O23:O30, 0), "")</f>
        <v>2</v>
      </c>
      <c r="N24" s="58" t="str">
        <f t="shared" ca="1" si="13"/>
        <v>Claudio Jr MG</v>
      </c>
      <c r="O24" s="57">
        <f ca="1">IF(OR(C24="", E24=""), "", VLOOKUP(N24, ClassGrupFases!$D$6:$AA$57, 24, 0))</f>
        <v>74.292718130370361</v>
      </c>
      <c r="Q24" s="56">
        <f ca="1">IFERROR(_xlfn.RANK.EQ(S24, S23:S30, 0) + 8, "")</f>
        <v>15</v>
      </c>
      <c r="R24" s="59" t="str">
        <f t="shared" ca="1" si="14"/>
        <v>Pablo Martins RJ</v>
      </c>
      <c r="S24" s="56">
        <f ca="1">IF(OR(C24="", E24=""), "", VLOOKUP(R24, ClassGrupFases!$D$6:$AA$57, 24, 0))</f>
        <v>54.732283761851853</v>
      </c>
      <c r="U24" s="60" t="str">
        <f t="shared" ca="1" si="15"/>
        <v>Pablo Martins RJ</v>
      </c>
      <c r="W24" s="60" t="str">
        <f t="shared" ca="1" si="16"/>
        <v>Claudio Jr MG</v>
      </c>
      <c r="X24" s="60" t="str">
        <f t="shared" si="17"/>
        <v/>
      </c>
      <c r="Y24" s="60" t="str">
        <f t="shared" si="18"/>
        <v/>
      </c>
      <c r="Z24" s="60" t="str">
        <f t="shared" ca="1" si="19"/>
        <v>Pablo Martins RJ</v>
      </c>
      <c r="AA24" s="60" t="str">
        <f t="shared" ca="1" si="20"/>
        <v>Claudio Jr MG</v>
      </c>
      <c r="AB24" s="60">
        <f t="shared" si="21"/>
        <v>3</v>
      </c>
      <c r="AC24" s="60" t="str">
        <f t="shared" ca="1" si="22"/>
        <v>Pablo Martins RJ</v>
      </c>
      <c r="AD24" s="60">
        <f t="shared" si="23"/>
        <v>1</v>
      </c>
      <c r="AE24" s="60">
        <f t="shared" si="24"/>
        <v>3</v>
      </c>
    </row>
    <row r="25" spans="1:31" x14ac:dyDescent="0.3">
      <c r="A25" s="56">
        <v>3</v>
      </c>
      <c r="B25" s="73" t="str">
        <f t="shared" ca="1" si="12"/>
        <v>Almo PR</v>
      </c>
      <c r="C25" s="74">
        <v>2</v>
      </c>
      <c r="D25" s="70" t="s">
        <v>23</v>
      </c>
      <c r="E25" s="74">
        <v>3</v>
      </c>
      <c r="F25" s="71" t="str">
        <f ca="1">IFERROR(VLOOKUP($G25,$M$5:$N$20, 2, FALSE), "")</f>
        <v>Vinicius Rolim RJ</v>
      </c>
      <c r="G25" s="72">
        <v>14</v>
      </c>
      <c r="H25" s="70">
        <v>19</v>
      </c>
      <c r="I25" s="70"/>
      <c r="J25" s="70"/>
      <c r="K25" s="70"/>
      <c r="M25" s="57">
        <f ca="1">IFERROR(_xlfn.RANK.EQ(O25, O23:O30, 0), "")</f>
        <v>8</v>
      </c>
      <c r="N25" s="58" t="str">
        <f t="shared" ca="1" si="13"/>
        <v>Vinicius Rolim RJ</v>
      </c>
      <c r="O25" s="57">
        <f ca="1">IF(OR(C25="", E25=""), "", VLOOKUP(N25, ClassGrupFases!$D$6:$AA$57, 24, 0))</f>
        <v>56.684349253703708</v>
      </c>
      <c r="Q25" s="56">
        <f ca="1">IFERROR(_xlfn.RANK.EQ(S25, S23:S30, 0) + 8, "")</f>
        <v>9</v>
      </c>
      <c r="R25" s="59" t="str">
        <f t="shared" ca="1" si="14"/>
        <v>Almo PR</v>
      </c>
      <c r="S25" s="56">
        <f ca="1">IF(OR(C25="", E25=""), "", VLOOKUP(R25, ClassGrupFases!$D$6:$AA$57, 24, 0))</f>
        <v>72.339656258518531</v>
      </c>
      <c r="U25" s="60" t="str">
        <f t="shared" ca="1" si="15"/>
        <v>Vinicius Rolim RJ</v>
      </c>
      <c r="W25" s="60" t="str">
        <f t="shared" ca="1" si="16"/>
        <v>Vinicius Rolim RJ</v>
      </c>
      <c r="X25" s="60" t="str">
        <f t="shared" si="17"/>
        <v/>
      </c>
      <c r="Y25" s="60" t="str">
        <f t="shared" si="18"/>
        <v/>
      </c>
      <c r="Z25" s="60" t="str">
        <f t="shared" ca="1" si="19"/>
        <v>Almo PR</v>
      </c>
      <c r="AA25" s="60" t="str">
        <f t="shared" ca="1" si="20"/>
        <v>Almo PR</v>
      </c>
      <c r="AB25" s="60">
        <f t="shared" si="21"/>
        <v>2</v>
      </c>
      <c r="AC25" s="60" t="str">
        <f t="shared" ca="1" si="22"/>
        <v>Vinicius Rolim RJ</v>
      </c>
      <c r="AD25" s="60">
        <f t="shared" si="23"/>
        <v>3</v>
      </c>
      <c r="AE25" s="60">
        <f t="shared" si="24"/>
        <v>2</v>
      </c>
    </row>
    <row r="26" spans="1:31" x14ac:dyDescent="0.3">
      <c r="A26" s="56">
        <v>4</v>
      </c>
      <c r="B26" s="61" t="str">
        <f t="shared" ca="1" si="12"/>
        <v>Thiago Matoso RJ</v>
      </c>
      <c r="C26" s="74">
        <v>3</v>
      </c>
      <c r="D26" s="33" t="s">
        <v>23</v>
      </c>
      <c r="E26" s="74">
        <v>3</v>
      </c>
      <c r="F26" s="34" t="str">
        <f ca="1">IFERROR(VLOOKUP($G26,$M$5:$N$20, 2, FALSE), "")</f>
        <v>João Paulo MG</v>
      </c>
      <c r="G26" s="56">
        <v>13</v>
      </c>
      <c r="H26" s="33">
        <v>20</v>
      </c>
      <c r="M26" s="57">
        <f ca="1">IFERROR(_xlfn.RANK.EQ(O26, O23:O30, 0), "")</f>
        <v>3</v>
      </c>
      <c r="N26" s="58" t="str">
        <f t="shared" ca="1" si="13"/>
        <v>Thiago Matoso RJ</v>
      </c>
      <c r="O26" s="57">
        <f ca="1">IF(OR(C26="", E26=""), "", VLOOKUP(N26, ClassGrupFases!$D$6:$AA$57, 24, 0))</f>
        <v>70.377503566666661</v>
      </c>
      <c r="Q26" s="56">
        <f ca="1">IFERROR(_xlfn.RANK.EQ(S26, S23:S30, 0) + 8, "")</f>
        <v>14</v>
      </c>
      <c r="R26" s="59" t="str">
        <f t="shared" ca="1" si="14"/>
        <v>João Paulo MG</v>
      </c>
      <c r="S26" s="56">
        <f ca="1">IF(OR(C26="", E26=""), "", VLOOKUP(R26, ClassGrupFases!$D$6:$AA$57, 24, 0))</f>
        <v>58.636483225555558</v>
      </c>
      <c r="U26" s="60" t="str">
        <f t="shared" ca="1" si="15"/>
        <v>João Paulo MG</v>
      </c>
      <c r="W26" s="60" t="str">
        <f t="shared" si="16"/>
        <v/>
      </c>
      <c r="X26" s="60" t="str">
        <f t="shared" ca="1" si="17"/>
        <v>Thiago Matoso RJ</v>
      </c>
      <c r="Y26" s="60" t="str">
        <f t="shared" ca="1" si="18"/>
        <v>João Paulo MG</v>
      </c>
      <c r="Z26" s="60" t="str">
        <f t="shared" si="19"/>
        <v/>
      </c>
      <c r="AA26" s="60" t="str">
        <f t="shared" ca="1" si="20"/>
        <v>Thiago Matoso RJ</v>
      </c>
      <c r="AB26" s="60">
        <f t="shared" si="21"/>
        <v>3</v>
      </c>
      <c r="AC26" s="60" t="str">
        <f t="shared" ca="1" si="22"/>
        <v>João Paulo MG</v>
      </c>
      <c r="AD26" s="60">
        <f t="shared" si="23"/>
        <v>3</v>
      </c>
      <c r="AE26" s="60">
        <f t="shared" si="24"/>
        <v>3</v>
      </c>
    </row>
    <row r="27" spans="1:31" x14ac:dyDescent="0.3">
      <c r="A27" s="56">
        <v>5</v>
      </c>
      <c r="B27" s="73" t="str">
        <f t="shared" ca="1" si="12"/>
        <v>Willow SP</v>
      </c>
      <c r="C27" s="74">
        <v>0</v>
      </c>
      <c r="D27" s="70" t="s">
        <v>23</v>
      </c>
      <c r="E27" s="74">
        <v>3</v>
      </c>
      <c r="F27" s="71" t="str">
        <f ca="1">IFERROR(VLOOKUP($G27,$M$5:$N$20, 2, FALSE), "")</f>
        <v>Lian MG</v>
      </c>
      <c r="G27" s="72">
        <v>12</v>
      </c>
      <c r="H27" s="70">
        <v>21</v>
      </c>
      <c r="I27" s="70"/>
      <c r="J27" s="70"/>
      <c r="K27" s="70"/>
      <c r="M27" s="57">
        <f ca="1">IFERROR(_xlfn.RANK.EQ(O27, O23:O30, 0), "")</f>
        <v>7</v>
      </c>
      <c r="N27" s="58" t="str">
        <f t="shared" ca="1" si="13"/>
        <v>Lian MG</v>
      </c>
      <c r="O27" s="57">
        <f ca="1">IF(OR(C27="", E27=""), "", VLOOKUP(N27, ClassGrupFases!$D$6:$AA$57, 24, 0))</f>
        <v>58.646798365555561</v>
      </c>
      <c r="Q27" s="56">
        <f ca="1">IFERROR(_xlfn.RANK.EQ(S27, S23:S30, 0) + 8, "")</f>
        <v>10</v>
      </c>
      <c r="R27" s="59" t="str">
        <f t="shared" ca="1" si="14"/>
        <v>Willow SP</v>
      </c>
      <c r="S27" s="56">
        <f ca="1">IF(OR(C27="", E27=""), "", VLOOKUP(R27, ClassGrupFases!$D$6:$AA$57, 24, 0))</f>
        <v>68.416155304814794</v>
      </c>
      <c r="U27" s="60" t="str">
        <f t="shared" ca="1" si="15"/>
        <v>Lian MG</v>
      </c>
      <c r="W27" s="60" t="str">
        <f t="shared" ca="1" si="16"/>
        <v>Lian MG</v>
      </c>
      <c r="X27" s="60" t="str">
        <f t="shared" si="17"/>
        <v/>
      </c>
      <c r="Y27" s="60" t="str">
        <f t="shared" si="18"/>
        <v/>
      </c>
      <c r="Z27" s="60" t="str">
        <f t="shared" ca="1" si="19"/>
        <v>Willow SP</v>
      </c>
      <c r="AA27" s="60" t="str">
        <f t="shared" ca="1" si="20"/>
        <v>Willow SP</v>
      </c>
      <c r="AB27" s="60">
        <f t="shared" si="21"/>
        <v>0</v>
      </c>
      <c r="AC27" s="60" t="str">
        <f t="shared" ca="1" si="22"/>
        <v>Lian MG</v>
      </c>
      <c r="AD27" s="60">
        <f t="shared" si="23"/>
        <v>3</v>
      </c>
      <c r="AE27" s="60">
        <f t="shared" si="24"/>
        <v>0</v>
      </c>
    </row>
    <row r="28" spans="1:31" x14ac:dyDescent="0.3">
      <c r="A28" s="56">
        <v>6</v>
      </c>
      <c r="B28" s="61" t="str">
        <f t="shared" ca="1" si="12"/>
        <v>Eduardo Rocha RJ</v>
      </c>
      <c r="C28" s="74">
        <v>2</v>
      </c>
      <c r="D28" s="33" t="s">
        <v>23</v>
      </c>
      <c r="E28" s="74">
        <v>4</v>
      </c>
      <c r="F28" s="34" t="str">
        <f ca="1">IFERROR(VLOOKUP($G28,$M$5:$N$20, 2, FALSE), "")</f>
        <v>João Carlos RJ</v>
      </c>
      <c r="G28" s="56">
        <v>11</v>
      </c>
      <c r="H28" s="33">
        <v>22</v>
      </c>
      <c r="M28" s="57">
        <f ca="1">IFERROR(_xlfn.RANK.EQ(O28, O23:O30, 0), "")</f>
        <v>6</v>
      </c>
      <c r="N28" s="58" t="str">
        <f t="shared" ca="1" si="13"/>
        <v>João Carlos RJ</v>
      </c>
      <c r="O28" s="57">
        <f ca="1">IF(OR(C28="", E28=""), "", VLOOKUP(N28, ClassGrupFases!$D$6:$AA$57, 24, 0))</f>
        <v>58.655998115555562</v>
      </c>
      <c r="Q28" s="56">
        <f ca="1">IFERROR(_xlfn.RANK.EQ(S28, S23:S30, 0) + 8, "")</f>
        <v>11</v>
      </c>
      <c r="R28" s="59" t="str">
        <f t="shared" ca="1" si="14"/>
        <v>Eduardo Rocha RJ</v>
      </c>
      <c r="S28" s="56">
        <f ca="1">IF(OR(C28="", E28=""), "", VLOOKUP(R28, ClassGrupFases!$D$6:$AA$57, 24, 0))</f>
        <v>68.416057344814803</v>
      </c>
      <c r="U28" s="60" t="str">
        <f t="shared" ca="1" si="15"/>
        <v>João Carlos RJ</v>
      </c>
      <c r="W28" s="60" t="str">
        <f t="shared" ca="1" si="16"/>
        <v>João Carlos RJ</v>
      </c>
      <c r="X28" s="60" t="str">
        <f t="shared" si="17"/>
        <v/>
      </c>
      <c r="Y28" s="60" t="str">
        <f t="shared" si="18"/>
        <v/>
      </c>
      <c r="Z28" s="60" t="str">
        <f t="shared" ca="1" si="19"/>
        <v>Eduardo Rocha RJ</v>
      </c>
      <c r="AA28" s="60" t="str">
        <f t="shared" ca="1" si="20"/>
        <v>Eduardo Rocha RJ</v>
      </c>
      <c r="AB28" s="60">
        <f t="shared" si="21"/>
        <v>2</v>
      </c>
      <c r="AC28" s="60" t="str">
        <f t="shared" ca="1" si="22"/>
        <v>João Carlos RJ</v>
      </c>
      <c r="AD28" s="60">
        <f t="shared" si="23"/>
        <v>4</v>
      </c>
      <c r="AE28" s="60">
        <f t="shared" si="24"/>
        <v>2</v>
      </c>
    </row>
    <row r="29" spans="1:31" x14ac:dyDescent="0.3">
      <c r="A29" s="56">
        <v>7</v>
      </c>
      <c r="B29" s="73" t="str">
        <f t="shared" ca="1" si="12"/>
        <v>Kaka RJ</v>
      </c>
      <c r="C29" s="74">
        <v>3</v>
      </c>
      <c r="D29" s="70" t="s">
        <v>23</v>
      </c>
      <c r="E29" s="74">
        <v>4</v>
      </c>
      <c r="F29" s="71" t="str">
        <f ca="1">IFERROR(VLOOKUP($G29,$M$5:$N$20, 2, FALSE), "")</f>
        <v>Alex Lage MG</v>
      </c>
      <c r="G29" s="72">
        <v>10</v>
      </c>
      <c r="H29" s="70">
        <v>23</v>
      </c>
      <c r="I29" s="70"/>
      <c r="J29" s="70"/>
      <c r="K29" s="70"/>
      <c r="M29" s="57">
        <f ca="1">IFERROR(_xlfn.RANK.EQ(O29, O23:O30, 0), "")</f>
        <v>5</v>
      </c>
      <c r="N29" s="58" t="str">
        <f t="shared" ca="1" si="13"/>
        <v>Alex Lage MG</v>
      </c>
      <c r="O29" s="57">
        <f ca="1">IF(OR(C29="", E29=""), "", VLOOKUP(N29, ClassGrupFases!$D$6:$AA$57, 24, 0))</f>
        <v>62.550196839259257</v>
      </c>
      <c r="Q29" s="56">
        <f ca="1">IFERROR(_xlfn.RANK.EQ(S29, S23:S30, 0) + 8, "")</f>
        <v>12</v>
      </c>
      <c r="R29" s="59" t="str">
        <f t="shared" ca="1" si="14"/>
        <v>Kaka RJ</v>
      </c>
      <c r="S29" s="56">
        <f ca="1">IF(OR(C29="", E29=""), "", VLOOKUP(R29, ClassGrupFases!$D$6:$AA$57, 24, 0))</f>
        <v>66.473604712962967</v>
      </c>
      <c r="U29" s="60" t="str">
        <f t="shared" ca="1" si="15"/>
        <v>Alex Lage MG</v>
      </c>
      <c r="W29" s="60" t="str">
        <f t="shared" ca="1" si="16"/>
        <v>Alex Lage MG</v>
      </c>
      <c r="X29" s="60" t="str">
        <f t="shared" si="17"/>
        <v/>
      </c>
      <c r="Y29" s="60" t="str">
        <f t="shared" si="18"/>
        <v/>
      </c>
      <c r="Z29" s="60" t="str">
        <f t="shared" ca="1" si="19"/>
        <v>Kaka RJ</v>
      </c>
      <c r="AA29" s="60" t="str">
        <f t="shared" ca="1" si="20"/>
        <v>Kaka RJ</v>
      </c>
      <c r="AB29" s="60">
        <f t="shared" si="21"/>
        <v>3</v>
      </c>
      <c r="AC29" s="60" t="str">
        <f t="shared" ca="1" si="22"/>
        <v>Alex Lage MG</v>
      </c>
      <c r="AD29" s="60">
        <f t="shared" si="23"/>
        <v>4</v>
      </c>
      <c r="AE29" s="60">
        <f t="shared" si="24"/>
        <v>3</v>
      </c>
    </row>
    <row r="30" spans="1:31" x14ac:dyDescent="0.3">
      <c r="A30" s="56">
        <v>8</v>
      </c>
      <c r="B30" s="61" t="str">
        <f t="shared" ca="1" si="12"/>
        <v>Elsio SP</v>
      </c>
      <c r="C30" s="74">
        <v>2</v>
      </c>
      <c r="D30" s="33" t="s">
        <v>23</v>
      </c>
      <c r="E30" s="74">
        <v>2</v>
      </c>
      <c r="F30" s="34" t="str">
        <f ca="1">IFERROR(VLOOKUP($G30,$M$5:$N$20, 2, FALSE), "")</f>
        <v>Capela SC</v>
      </c>
      <c r="G30" s="56">
        <v>9</v>
      </c>
      <c r="H30" s="33">
        <v>24</v>
      </c>
      <c r="M30" s="57">
        <f ca="1">IFERROR(_xlfn.RANK.EQ(O30, O23:O30, 0), "")</f>
        <v>4</v>
      </c>
      <c r="N30" s="58" t="str">
        <f t="shared" ca="1" si="13"/>
        <v>Elsio SP</v>
      </c>
      <c r="O30" s="57">
        <f ca="1">IF(OR(C30="", E30=""), "", VLOOKUP(N30, ClassGrupFases!$D$6:$AA$57, 24, 0))</f>
        <v>64.512351591111113</v>
      </c>
      <c r="Q30" s="56">
        <f ca="1">IFERROR(_xlfn.RANK.EQ(S30, S23:S30, 0) + 8, "")</f>
        <v>13</v>
      </c>
      <c r="R30" s="59" t="str">
        <f t="shared" ca="1" si="14"/>
        <v>Capela SC</v>
      </c>
      <c r="S30" s="56">
        <f ca="1">IF(OR(C30="", E30=""), "", VLOOKUP(R30, ClassGrupFases!$D$6:$AA$57, 24, 0))</f>
        <v>64.511644951111123</v>
      </c>
      <c r="U30" s="60" t="str">
        <f t="shared" ca="1" si="15"/>
        <v>Capela SC</v>
      </c>
      <c r="W30" s="60" t="str">
        <f t="shared" si="16"/>
        <v/>
      </c>
      <c r="X30" s="60" t="str">
        <f t="shared" ca="1" si="17"/>
        <v>Elsio SP</v>
      </c>
      <c r="Y30" s="60" t="str">
        <f t="shared" ca="1" si="18"/>
        <v>Capela SC</v>
      </c>
      <c r="Z30" s="60" t="str">
        <f t="shared" si="19"/>
        <v/>
      </c>
      <c r="AA30" s="60" t="str">
        <f t="shared" ca="1" si="20"/>
        <v>Elsio SP</v>
      </c>
      <c r="AB30" s="60">
        <f t="shared" si="21"/>
        <v>2</v>
      </c>
      <c r="AC30" s="60" t="str">
        <f t="shared" ca="1" si="22"/>
        <v>Capela SC</v>
      </c>
      <c r="AD30" s="60">
        <f t="shared" si="23"/>
        <v>2</v>
      </c>
      <c r="AE30" s="60">
        <f t="shared" si="24"/>
        <v>2</v>
      </c>
    </row>
    <row r="31" spans="1:31" ht="25.5" x14ac:dyDescent="0.5">
      <c r="B31" s="62" t="s">
        <v>98</v>
      </c>
      <c r="C31" s="62"/>
      <c r="D31" s="62"/>
      <c r="E31" s="62"/>
      <c r="F31" s="62"/>
      <c r="G31" s="62"/>
      <c r="H31" s="62"/>
      <c r="U31" s="60" t="s">
        <v>15</v>
      </c>
      <c r="V31" s="60" t="s">
        <v>15</v>
      </c>
      <c r="W31" s="60" t="s">
        <v>16</v>
      </c>
      <c r="X31" s="60" t="s">
        <v>17</v>
      </c>
      <c r="Y31" s="60" t="s">
        <v>17</v>
      </c>
      <c r="Z31" s="60" t="s">
        <v>18</v>
      </c>
      <c r="AA31" s="60" t="s">
        <v>19</v>
      </c>
      <c r="AB31" s="60" t="s">
        <v>20</v>
      </c>
      <c r="AC31" s="60" t="s">
        <v>16</v>
      </c>
      <c r="AD31" s="60" t="s">
        <v>21</v>
      </c>
      <c r="AE31" s="60" t="s">
        <v>22</v>
      </c>
    </row>
    <row r="32" spans="1:31" x14ac:dyDescent="0.3">
      <c r="B32" s="65" t="s">
        <v>93</v>
      </c>
      <c r="C32" s="65"/>
      <c r="D32" s="65"/>
      <c r="E32" s="65"/>
      <c r="F32" s="65"/>
      <c r="G32" s="65"/>
      <c r="H32" s="64" t="s">
        <v>94</v>
      </c>
      <c r="L32" s="63">
        <f>Jogos!K3 + TIME(0,200,0)</f>
        <v>44850.555555555555</v>
      </c>
      <c r="M32" s="67" t="s">
        <v>95</v>
      </c>
      <c r="N32" s="66"/>
      <c r="O32" s="66"/>
      <c r="Q32" s="69" t="s">
        <v>96</v>
      </c>
      <c r="R32" s="68"/>
      <c r="S32" s="68"/>
    </row>
    <row r="33" spans="1:31" x14ac:dyDescent="0.3">
      <c r="A33" s="56">
        <v>1</v>
      </c>
      <c r="B33" s="73" t="str">
        <f ca="1">IFERROR(VLOOKUP($A33,$M$23:$N$30, 2, FALSE), "")</f>
        <v>Gabriel RJ</v>
      </c>
      <c r="C33" s="74">
        <v>0</v>
      </c>
      <c r="D33" s="70" t="s">
        <v>23</v>
      </c>
      <c r="E33" s="74">
        <v>4</v>
      </c>
      <c r="F33" s="71" t="str">
        <f ca="1">IFERROR(VLOOKUP($G33,$M$23:$N$30, 2, FALSE), "")</f>
        <v>Vinicius Rolim RJ</v>
      </c>
      <c r="G33" s="72">
        <v>8</v>
      </c>
      <c r="H33" s="70">
        <v>17</v>
      </c>
      <c r="I33" s="70"/>
      <c r="J33" s="70"/>
      <c r="K33" s="70"/>
      <c r="M33" s="57">
        <f ca="1">IFERROR(_xlfn.RANK.EQ(O33, O33:O36, 0), "")</f>
        <v>4</v>
      </c>
      <c r="N33" s="58" t="str">
        <f ca="1">IF(OR(C33="", E33=""), "", IF(OR(C33&gt;E33, C33=E33), B33, F33))</f>
        <v>Vinicius Rolim RJ</v>
      </c>
      <c r="O33" s="57">
        <f ca="1">IF(OR(C33="", E33=""), "", VLOOKUP(N33, ClassGrupFases!$D$6:$AA$57, 24, 0))</f>
        <v>56.684349253703708</v>
      </c>
      <c r="Q33" s="56">
        <f ca="1">IFERROR(_xlfn.RANK.EQ(S33, S33:S36, 0) + 4, "")</f>
        <v>5</v>
      </c>
      <c r="R33" s="59" t="str">
        <f ca="1">IF(OR(C33="", E33=""), "", IF(OR(C33&gt;E33, C33=E33), F33, B33))</f>
        <v>Gabriel RJ</v>
      </c>
      <c r="S33" s="56">
        <f ca="1">IF(OR(C33="", E33=""), "", VLOOKUP(R33, ClassGrupFases!$D$6:$AA$57, 24, 0))</f>
        <v>78.205623014074064</v>
      </c>
      <c r="U33" s="60" t="str">
        <f ca="1">IF(OR(C33 = "",E33 = ""), "", F33)</f>
        <v>Vinicius Rolim RJ</v>
      </c>
      <c r="W33" s="60" t="str">
        <f ca="1">IF(OR(C33 = "",E33 = ""), "", IF(C33&gt;E33,B33, IF(E33&gt;C33,F33, "")))</f>
        <v>Vinicius Rolim RJ</v>
      </c>
      <c r="X33" s="60" t="str">
        <f>IF(OR(C33 = "",E33 = ""), "", IF(C33=E33,B33, ""))</f>
        <v/>
      </c>
      <c r="Y33" s="60" t="str">
        <f>IF(OR(C33 = "",E33 = ""), "", IF(C33=E33,F33, ""))</f>
        <v/>
      </c>
      <c r="Z33" s="60" t="str">
        <f ca="1">IF(OR(C33 = "",E33 = ""), "", IF(C33&gt;E33,F33, IF(E33&gt;C33,B33, "")))</f>
        <v>Gabriel RJ</v>
      </c>
      <c r="AA33" s="60" t="str">
        <f ca="1">IF(OR(C33 = "",E33 = ""), "", B33)</f>
        <v>Gabriel RJ</v>
      </c>
      <c r="AB33" s="60">
        <f>IF(C33 = "", "", C33)</f>
        <v>0</v>
      </c>
      <c r="AC33" s="60" t="str">
        <f ca="1">IF(OR(C33 = "",E33 = ""), "", F33)</f>
        <v>Vinicius Rolim RJ</v>
      </c>
      <c r="AD33" s="60">
        <f>IF(E33 = "", "", E33)</f>
        <v>4</v>
      </c>
      <c r="AE33" s="60">
        <f>IF(C33 = "", "", C33)</f>
        <v>0</v>
      </c>
    </row>
    <row r="34" spans="1:31" x14ac:dyDescent="0.3">
      <c r="A34" s="56">
        <v>2</v>
      </c>
      <c r="B34" s="61" t="str">
        <f ca="1">IFERROR(VLOOKUP($A34,$M$23:$N$30, 2, FALSE), "")</f>
        <v>Claudio Jr MG</v>
      </c>
      <c r="C34" s="74">
        <v>1</v>
      </c>
      <c r="D34" s="33" t="s">
        <v>23</v>
      </c>
      <c r="E34" s="74">
        <v>2</v>
      </c>
      <c r="F34" s="34" t="str">
        <f ca="1">IFERROR(VLOOKUP($G34,$M$23:$N$30, 2, FALSE), "")</f>
        <v>Lian MG</v>
      </c>
      <c r="G34" s="56">
        <v>7</v>
      </c>
      <c r="H34" s="33">
        <v>18</v>
      </c>
      <c r="M34" s="57">
        <f ca="1">IFERROR(_xlfn.RANK.EQ(O34, O33:O36, 0), "")</f>
        <v>3</v>
      </c>
      <c r="N34" s="58" t="str">
        <f ca="1">IF(OR(C34="", E34=""), "", IF(OR(C34&gt;E34, C34=E34), B34, F34))</f>
        <v>Lian MG</v>
      </c>
      <c r="O34" s="57">
        <f ca="1">IF(OR(C34="", E34=""), "", VLOOKUP(N34, ClassGrupFases!$D$6:$AA$57, 24, 0))</f>
        <v>58.646798365555561</v>
      </c>
      <c r="Q34" s="56">
        <f ca="1">IFERROR(_xlfn.RANK.EQ(S34, S33:S36, 0) + 4, "")</f>
        <v>6</v>
      </c>
      <c r="R34" s="59" t="str">
        <f ca="1">IF(OR(C34="", E34=""), "", IF(OR(C34&gt;E34, C34=E34), F34, B34))</f>
        <v>Claudio Jr MG</v>
      </c>
      <c r="S34" s="56">
        <f ca="1">IF(OR(C34="", E34=""), "", VLOOKUP(R34, ClassGrupFases!$D$6:$AA$57, 24, 0))</f>
        <v>74.292718130370361</v>
      </c>
      <c r="U34" s="60" t="str">
        <f ca="1">IF(OR(C34 = "",E34 = ""), "", F34)</f>
        <v>Lian MG</v>
      </c>
      <c r="W34" s="60" t="str">
        <f ca="1">IF(OR(C34 = "",E34 = ""), "", IF(C34&gt;E34,B34, IF(E34&gt;C34,F34, "")))</f>
        <v>Lian MG</v>
      </c>
      <c r="X34" s="60" t="str">
        <f>IF(OR(C34 = "",E34 = ""), "", IF(C34=E34,B34, ""))</f>
        <v/>
      </c>
      <c r="Y34" s="60" t="str">
        <f>IF(OR(C34 = "",E34 = ""), "", IF(C34=E34,F34, ""))</f>
        <v/>
      </c>
      <c r="Z34" s="60" t="str">
        <f ca="1">IF(OR(C34 = "",E34 = ""), "", IF(C34&gt;E34,F34, IF(E34&gt;C34,B34, "")))</f>
        <v>Claudio Jr MG</v>
      </c>
      <c r="AA34" s="60" t="str">
        <f ca="1">IF(OR(C34 = "",E34 = ""), "", B34)</f>
        <v>Claudio Jr MG</v>
      </c>
      <c r="AB34" s="60">
        <f>IF(C34 = "", "", C34)</f>
        <v>1</v>
      </c>
      <c r="AC34" s="60" t="str">
        <f ca="1">IF(OR(C34 = "",E34 = ""), "", F34)</f>
        <v>Lian MG</v>
      </c>
      <c r="AD34" s="60">
        <f>IF(E34 = "", "", E34)</f>
        <v>2</v>
      </c>
      <c r="AE34" s="60">
        <f>IF(C34 = "", "", C34)</f>
        <v>1</v>
      </c>
    </row>
    <row r="35" spans="1:31" x14ac:dyDescent="0.3">
      <c r="A35" s="56">
        <v>3</v>
      </c>
      <c r="B35" s="73" t="str">
        <f ca="1">IFERROR(VLOOKUP($A35,$M$23:$N$30, 2, FALSE), "")</f>
        <v>Thiago Matoso RJ</v>
      </c>
      <c r="C35" s="74">
        <v>2</v>
      </c>
      <c r="D35" s="70" t="s">
        <v>23</v>
      </c>
      <c r="E35" s="74">
        <v>3</v>
      </c>
      <c r="F35" s="71" t="str">
        <f ca="1">IFERROR(VLOOKUP($G35,$M$23:$N$30, 2, FALSE), "")</f>
        <v>João Carlos RJ</v>
      </c>
      <c r="G35" s="72">
        <v>6</v>
      </c>
      <c r="H35" s="70">
        <v>19</v>
      </c>
      <c r="I35" s="70"/>
      <c r="J35" s="70"/>
      <c r="K35" s="70"/>
      <c r="M35" s="57">
        <f ca="1">IFERROR(_xlfn.RANK.EQ(O35, O33:O36, 0), "")</f>
        <v>2</v>
      </c>
      <c r="N35" s="58" t="str">
        <f ca="1">IF(OR(C35="", E35=""), "", IF(OR(C35&gt;E35, C35=E35), B35, F35))</f>
        <v>João Carlos RJ</v>
      </c>
      <c r="O35" s="57">
        <f ca="1">IF(OR(C35="", E35=""), "", VLOOKUP(N35, ClassGrupFases!$D$6:$AA$57, 24, 0))</f>
        <v>58.655998115555562</v>
      </c>
      <c r="Q35" s="56">
        <f ca="1">IFERROR(_xlfn.RANK.EQ(S35, S33:S36, 0) + 4, "")</f>
        <v>7</v>
      </c>
      <c r="R35" s="59" t="str">
        <f ca="1">IF(OR(C35="", E35=""), "", IF(OR(C35&gt;E35, C35=E35), F35, B35))</f>
        <v>Thiago Matoso RJ</v>
      </c>
      <c r="S35" s="56">
        <f ca="1">IF(OR(C35="", E35=""), "", VLOOKUP(R35, ClassGrupFases!$D$6:$AA$57, 24, 0))</f>
        <v>70.377503566666661</v>
      </c>
      <c r="U35" s="60" t="str">
        <f ca="1">IF(OR(C35 = "",E35 = ""), "", F35)</f>
        <v>João Carlos RJ</v>
      </c>
      <c r="W35" s="60" t="str">
        <f ca="1">IF(OR(C35 = "",E35 = ""), "", IF(C35&gt;E35,B35, IF(E35&gt;C35,F35, "")))</f>
        <v>João Carlos RJ</v>
      </c>
      <c r="X35" s="60" t="str">
        <f>IF(OR(C35 = "",E35 = ""), "", IF(C35=E35,B35, ""))</f>
        <v/>
      </c>
      <c r="Y35" s="60" t="str">
        <f>IF(OR(C35 = "",E35 = ""), "", IF(C35=E35,F35, ""))</f>
        <v/>
      </c>
      <c r="Z35" s="60" t="str">
        <f ca="1">IF(OR(C35 = "",E35 = ""), "", IF(C35&gt;E35,F35, IF(E35&gt;C35,B35, "")))</f>
        <v>Thiago Matoso RJ</v>
      </c>
      <c r="AA35" s="60" t="str">
        <f ca="1">IF(OR(C35 = "",E35 = ""), "", B35)</f>
        <v>Thiago Matoso RJ</v>
      </c>
      <c r="AB35" s="60">
        <f>IF(C35 = "", "", C35)</f>
        <v>2</v>
      </c>
      <c r="AC35" s="60" t="str">
        <f ca="1">IF(OR(C35 = "",E35 = ""), "", F35)</f>
        <v>João Carlos RJ</v>
      </c>
      <c r="AD35" s="60">
        <f>IF(E35 = "", "", E35)</f>
        <v>3</v>
      </c>
      <c r="AE35" s="60">
        <f>IF(C35 = "", "", C35)</f>
        <v>2</v>
      </c>
    </row>
    <row r="36" spans="1:31" x14ac:dyDescent="0.3">
      <c r="A36" s="56">
        <v>4</v>
      </c>
      <c r="B36" s="61" t="str">
        <f ca="1">IFERROR(VLOOKUP($A36,$M$23:$N$30, 2, FALSE), "")</f>
        <v>Elsio SP</v>
      </c>
      <c r="C36" s="74">
        <v>2</v>
      </c>
      <c r="D36" s="33" t="s">
        <v>23</v>
      </c>
      <c r="E36" s="74">
        <v>1</v>
      </c>
      <c r="F36" s="34" t="str">
        <f ca="1">IFERROR(VLOOKUP($G36,$M$23:$N$30, 2, FALSE), "")</f>
        <v>Alex Lage MG</v>
      </c>
      <c r="G36" s="56">
        <v>5</v>
      </c>
      <c r="H36" s="33">
        <v>20</v>
      </c>
      <c r="M36" s="57">
        <f ca="1">IFERROR(_xlfn.RANK.EQ(O36, O33:O36, 0), "")</f>
        <v>1</v>
      </c>
      <c r="N36" s="58" t="str">
        <f ca="1">IF(OR(C36="", E36=""), "", IF(OR(C36&gt;E36, C36=E36), B36, F36))</f>
        <v>Elsio SP</v>
      </c>
      <c r="O36" s="57">
        <f ca="1">IF(OR(C36="", E36=""), "", VLOOKUP(N36, ClassGrupFases!$D$6:$AA$57, 24, 0))</f>
        <v>64.512351591111113</v>
      </c>
      <c r="Q36" s="56">
        <f ca="1">IFERROR(_xlfn.RANK.EQ(S36, S33:S36, 0) + 4, "")</f>
        <v>8</v>
      </c>
      <c r="R36" s="59" t="str">
        <f ca="1">IF(OR(C36="", E36=""), "", IF(OR(C36&gt;E36, C36=E36), F36, B36))</f>
        <v>Alex Lage MG</v>
      </c>
      <c r="S36" s="56">
        <f ca="1">IF(OR(C36="", E36=""), "", VLOOKUP(R36, ClassGrupFases!$D$6:$AA$57, 24, 0))</f>
        <v>62.550196839259257</v>
      </c>
      <c r="U36" s="60" t="str">
        <f ca="1">IF(OR(C36 = "",E36 = ""), "", F36)</f>
        <v>Alex Lage MG</v>
      </c>
      <c r="W36" s="60" t="str">
        <f ca="1">IF(OR(C36 = "",E36 = ""), "", IF(C36&gt;E36,B36, IF(E36&gt;C36,F36, "")))</f>
        <v>Elsio SP</v>
      </c>
      <c r="X36" s="60" t="str">
        <f>IF(OR(C36 = "",E36 = ""), "", IF(C36=E36,B36, ""))</f>
        <v/>
      </c>
      <c r="Y36" s="60" t="str">
        <f>IF(OR(C36 = "",E36 = ""), "", IF(C36=E36,F36, ""))</f>
        <v/>
      </c>
      <c r="Z36" s="60" t="str">
        <f ca="1">IF(OR(C36 = "",E36 = ""), "", IF(C36&gt;E36,F36, IF(E36&gt;C36,B36, "")))</f>
        <v>Alex Lage MG</v>
      </c>
      <c r="AA36" s="60" t="str">
        <f ca="1">IF(OR(C36 = "",E36 = ""), "", B36)</f>
        <v>Elsio SP</v>
      </c>
      <c r="AB36" s="60">
        <f>IF(C36 = "", "", C36)</f>
        <v>2</v>
      </c>
      <c r="AC36" s="60" t="str">
        <f ca="1">IF(OR(C36 = "",E36 = ""), "", F36)</f>
        <v>Alex Lage MG</v>
      </c>
      <c r="AD36" s="60">
        <f>IF(E36 = "", "", E36)</f>
        <v>1</v>
      </c>
      <c r="AE36" s="60">
        <f>IF(C36 = "", "", C36)</f>
        <v>2</v>
      </c>
    </row>
    <row r="37" spans="1:31" ht="25.5" x14ac:dyDescent="0.5">
      <c r="B37" s="62" t="s">
        <v>99</v>
      </c>
      <c r="C37" s="62"/>
      <c r="D37" s="62"/>
      <c r="E37" s="62"/>
      <c r="F37" s="62"/>
      <c r="G37" s="62"/>
      <c r="H37" s="62"/>
      <c r="U37" s="60" t="s">
        <v>15</v>
      </c>
      <c r="V37" s="60" t="s">
        <v>15</v>
      </c>
      <c r="W37" s="60" t="s">
        <v>16</v>
      </c>
      <c r="X37" s="60" t="s">
        <v>17</v>
      </c>
      <c r="Y37" s="60" t="s">
        <v>17</v>
      </c>
      <c r="Z37" s="60" t="s">
        <v>18</v>
      </c>
      <c r="AA37" s="60" t="s">
        <v>19</v>
      </c>
      <c r="AB37" s="60" t="s">
        <v>20</v>
      </c>
      <c r="AC37" s="60" t="s">
        <v>16</v>
      </c>
      <c r="AD37" s="60" t="s">
        <v>21</v>
      </c>
      <c r="AE37" s="60" t="s">
        <v>22</v>
      </c>
    </row>
    <row r="38" spans="1:31" x14ac:dyDescent="0.3">
      <c r="B38" s="65" t="s">
        <v>93</v>
      </c>
      <c r="C38" s="65"/>
      <c r="D38" s="65"/>
      <c r="E38" s="65"/>
      <c r="F38" s="65"/>
      <c r="G38" s="65"/>
      <c r="H38" s="64" t="s">
        <v>94</v>
      </c>
      <c r="L38" s="63">
        <f>Jogos!K3 + TIME(0,220,0)</f>
        <v>44850.569444444445</v>
      </c>
      <c r="M38" s="67" t="s">
        <v>95</v>
      </c>
      <c r="N38" s="66"/>
      <c r="O38" s="66"/>
      <c r="Q38" s="69" t="s">
        <v>96</v>
      </c>
      <c r="R38" s="68"/>
      <c r="S38" s="68"/>
    </row>
    <row r="39" spans="1:31" x14ac:dyDescent="0.3">
      <c r="A39" s="56">
        <v>5</v>
      </c>
      <c r="B39" s="73" t="str">
        <f ca="1">IFERROR(VLOOKUP($A39,$Q$33:$R$36, 2, FALSE), "")</f>
        <v>Gabriel RJ</v>
      </c>
      <c r="C39" s="74">
        <v>3</v>
      </c>
      <c r="D39" s="70" t="s">
        <v>23</v>
      </c>
      <c r="E39" s="74">
        <v>3</v>
      </c>
      <c r="F39" s="71" t="str">
        <f ca="1">IFERROR(VLOOKUP($G39,$Q$33:$R$36, 2, FALSE), "")</f>
        <v>Alex Lage MG</v>
      </c>
      <c r="G39" s="72">
        <v>8</v>
      </c>
      <c r="H39" s="70">
        <v>19</v>
      </c>
      <c r="I39" s="70"/>
      <c r="J39" s="70"/>
      <c r="K39" s="70"/>
      <c r="M39" s="57">
        <f ca="1">IFERROR(_xlfn.RANK.EQ(O39, O39:O40, 0), "")</f>
        <v>1</v>
      </c>
      <c r="N39" s="58" t="str">
        <f ca="1">IF(OR(C39="", E39=""), "", IF(OR(C39&gt;E39, C39=E39), B39, F39))</f>
        <v>Gabriel RJ</v>
      </c>
      <c r="O39" s="57">
        <f ca="1">IF(OR(C39="", E39=""), "", VLOOKUP(N39, ClassGrupFases!$D$6:$AA$57, 24, 0))</f>
        <v>78.205623014074064</v>
      </c>
      <c r="Q39" s="56">
        <f ca="1">IFERROR(_xlfn.RANK.EQ(S39, S39:S40, 0) + 2, "")</f>
        <v>4</v>
      </c>
      <c r="R39" s="59" t="str">
        <f ca="1">IF(OR(C39="", E39=""), "", IF(OR(C39&gt;E39, C39=E39), F39, B39))</f>
        <v>Alex Lage MG</v>
      </c>
      <c r="S39" s="56">
        <f ca="1">IF(OR(C39="", E39=""), "", VLOOKUP(R39, ClassGrupFases!$D$6:$AA$57, 24, 0))</f>
        <v>62.550196839259257</v>
      </c>
      <c r="U39" s="60" t="str">
        <f ca="1">IF(OR(C39 = "",E39 = ""), "", F39)</f>
        <v>Alex Lage MG</v>
      </c>
      <c r="W39" s="60" t="str">
        <f>IF(OR(C39 = "",E39 = ""), "", IF(C39&gt;E39,B39, IF(E39&gt;C39,F39, "")))</f>
        <v/>
      </c>
      <c r="X39" s="60" t="str">
        <f ca="1">IF(OR(C39 = "",E39 = ""), "", IF(C39=E39,B39, ""))</f>
        <v>Gabriel RJ</v>
      </c>
      <c r="Y39" s="60" t="str">
        <f ca="1">IF(OR(C39 = "",E39 = ""), "", IF(C39=E39,F39, ""))</f>
        <v>Alex Lage MG</v>
      </c>
      <c r="Z39" s="60" t="str">
        <f>IF(OR(C39 = "",E39 = ""), "", IF(C39&gt;E39,F39, IF(E39&gt;C39,B39, "")))</f>
        <v/>
      </c>
      <c r="AA39" s="60" t="str">
        <f ca="1">IF(OR(C39 = "",E39 = ""), "", B39)</f>
        <v>Gabriel RJ</v>
      </c>
      <c r="AB39" s="60">
        <f>IF(C39 = "", "", C39)</f>
        <v>3</v>
      </c>
      <c r="AC39" s="60" t="str">
        <f ca="1">IF(OR(C39 = "",E39 = ""), "", F39)</f>
        <v>Alex Lage MG</v>
      </c>
      <c r="AD39" s="60">
        <f>IF(E39 = "", "", E39)</f>
        <v>3</v>
      </c>
      <c r="AE39" s="60">
        <f>IF(C39 = "", "", C39)</f>
        <v>3</v>
      </c>
    </row>
    <row r="40" spans="1:31" x14ac:dyDescent="0.3">
      <c r="A40" s="56">
        <v>6</v>
      </c>
      <c r="B40" s="61" t="str">
        <f ca="1">IFERROR(VLOOKUP($A40,$Q$33:$R$36, 2, FALSE), "")</f>
        <v>Claudio Jr MG</v>
      </c>
      <c r="C40" s="74">
        <v>2</v>
      </c>
      <c r="D40" s="33" t="s">
        <v>23</v>
      </c>
      <c r="E40" s="74">
        <v>1</v>
      </c>
      <c r="F40" s="34" t="str">
        <f ca="1">IFERROR(VLOOKUP($G40,$Q$33:$R$36, 2, FALSE), "")</f>
        <v>Thiago Matoso RJ</v>
      </c>
      <c r="G40" s="56">
        <v>7</v>
      </c>
      <c r="H40" s="33">
        <v>20</v>
      </c>
      <c r="M40" s="57">
        <f ca="1">IFERROR(_xlfn.RANK.EQ(O40, O39:O40, 0), "")</f>
        <v>2</v>
      </c>
      <c r="N40" s="58" t="str">
        <f ca="1">IF(OR(C40="", E40=""), "", IF(OR(C40&gt;E40, C40=E40), B40, F40))</f>
        <v>Claudio Jr MG</v>
      </c>
      <c r="O40" s="57">
        <f ca="1">IF(OR(C40="", E40=""), "", VLOOKUP(N40, ClassGrupFases!$D$6:$AA$57, 24, 0))</f>
        <v>74.292718130370361</v>
      </c>
      <c r="Q40" s="56">
        <f ca="1">IFERROR(_xlfn.RANK.EQ(S40, S39:S40, 0) + 2, "")</f>
        <v>3</v>
      </c>
      <c r="R40" s="59" t="str">
        <f ca="1">IF(OR(C40="", E40=""), "", IF(OR(C40&gt;E40, C40=E40), F40, B40))</f>
        <v>Thiago Matoso RJ</v>
      </c>
      <c r="S40" s="56">
        <f ca="1">IF(OR(C40="", E40=""), "", VLOOKUP(R40, ClassGrupFases!$D$6:$AA$57, 24, 0))</f>
        <v>70.377503566666661</v>
      </c>
      <c r="U40" s="60" t="str">
        <f ca="1">IF(OR(C40 = "",E40 = ""), "", F40)</f>
        <v>Thiago Matoso RJ</v>
      </c>
      <c r="W40" s="60" t="str">
        <f ca="1">IF(OR(C40 = "",E40 = ""), "", IF(C40&gt;E40,B40, IF(E40&gt;C40,F40, "")))</f>
        <v>Claudio Jr MG</v>
      </c>
      <c r="X40" s="60" t="str">
        <f>IF(OR(C40 = "",E40 = ""), "", IF(C40=E40,B40, ""))</f>
        <v/>
      </c>
      <c r="Y40" s="60" t="str">
        <f>IF(OR(C40 = "",E40 = ""), "", IF(C40=E40,F40, ""))</f>
        <v/>
      </c>
      <c r="Z40" s="60" t="str">
        <f ca="1">IF(OR(C40 = "",E40 = ""), "", IF(C40&gt;E40,F40, IF(E40&gt;C40,B40, "")))</f>
        <v>Thiago Matoso RJ</v>
      </c>
      <c r="AA40" s="60" t="str">
        <f ca="1">IF(OR(C40 = "",E40 = ""), "", B40)</f>
        <v>Claudio Jr MG</v>
      </c>
      <c r="AB40" s="60">
        <f>IF(C40 = "", "", C40)</f>
        <v>2</v>
      </c>
      <c r="AC40" s="60" t="str">
        <f ca="1">IF(OR(C40 = "",E40 = ""), "", F40)</f>
        <v>Thiago Matoso RJ</v>
      </c>
      <c r="AD40" s="60">
        <f>IF(E40 = "", "", E40)</f>
        <v>1</v>
      </c>
      <c r="AE40" s="60">
        <f>IF(C40 = "", "", C40)</f>
        <v>2</v>
      </c>
    </row>
    <row r="41" spans="1:31" ht="25.5" x14ac:dyDescent="0.5">
      <c r="B41" s="62" t="s">
        <v>100</v>
      </c>
      <c r="C41" s="62"/>
      <c r="D41" s="62"/>
      <c r="E41" s="62"/>
      <c r="F41" s="62"/>
      <c r="G41" s="62"/>
      <c r="H41" s="62"/>
      <c r="U41" s="60" t="s">
        <v>15</v>
      </c>
      <c r="V41" s="60" t="s">
        <v>15</v>
      </c>
      <c r="W41" s="60" t="s">
        <v>16</v>
      </c>
      <c r="X41" s="60" t="s">
        <v>17</v>
      </c>
      <c r="Y41" s="60" t="s">
        <v>17</v>
      </c>
      <c r="Z41" s="60" t="s">
        <v>18</v>
      </c>
      <c r="AA41" s="60" t="s">
        <v>19</v>
      </c>
      <c r="AB41" s="60" t="s">
        <v>20</v>
      </c>
      <c r="AC41" s="60" t="s">
        <v>16</v>
      </c>
      <c r="AD41" s="60" t="s">
        <v>21</v>
      </c>
      <c r="AE41" s="60" t="s">
        <v>22</v>
      </c>
    </row>
    <row r="42" spans="1:31" x14ac:dyDescent="0.3">
      <c r="B42" s="65" t="s">
        <v>93</v>
      </c>
      <c r="C42" s="65"/>
      <c r="D42" s="65"/>
      <c r="E42" s="65"/>
      <c r="F42" s="65"/>
      <c r="G42" s="65"/>
      <c r="H42" s="64" t="s">
        <v>94</v>
      </c>
      <c r="L42" s="63">
        <f>Jogos!K3 + TIME(0,220,0)</f>
        <v>44850.569444444445</v>
      </c>
      <c r="M42" s="67" t="s">
        <v>95</v>
      </c>
      <c r="N42" s="66"/>
      <c r="O42" s="66"/>
      <c r="Q42" s="69" t="s">
        <v>96</v>
      </c>
      <c r="R42" s="68"/>
      <c r="S42" s="68"/>
    </row>
    <row r="43" spans="1:31" x14ac:dyDescent="0.3">
      <c r="A43" s="56">
        <v>1</v>
      </c>
      <c r="B43" s="73" t="str">
        <f ca="1">IFERROR(VLOOKUP($A43,$M$33:$N$36, 2, FALSE), "")</f>
        <v>Elsio SP</v>
      </c>
      <c r="C43" s="74">
        <v>2</v>
      </c>
      <c r="D43" s="70" t="s">
        <v>23</v>
      </c>
      <c r="E43" s="74">
        <v>1</v>
      </c>
      <c r="F43" s="71" t="str">
        <f ca="1">IFERROR(VLOOKUP($G43,$M$33:$N$36, 2, FALSE), "")</f>
        <v>Vinicius Rolim RJ</v>
      </c>
      <c r="G43" s="72">
        <v>4</v>
      </c>
      <c r="H43" s="70">
        <v>17</v>
      </c>
      <c r="I43" s="70"/>
      <c r="J43" s="70"/>
      <c r="K43" s="70"/>
      <c r="M43" s="57">
        <f ca="1">IFERROR(_xlfn.RANK.EQ(O43, O43:O44, 0), "")</f>
        <v>1</v>
      </c>
      <c r="N43" s="58" t="str">
        <f ca="1">IF(OR(C43="", E43=""), "", IF(OR(C43&gt;E43, C43=E43), B43, F43))</f>
        <v>Elsio SP</v>
      </c>
      <c r="O43" s="57">
        <f ca="1">IF(OR(C43="", E43=""), "", VLOOKUP(N43, ClassGrupFases!$D$6:$AA$57, 24, 0))</f>
        <v>64.512351591111113</v>
      </c>
      <c r="Q43" s="56">
        <f ca="1">IFERROR(_xlfn.RANK.EQ(S43, S43:S44, 0) + 2, "")</f>
        <v>4</v>
      </c>
      <c r="R43" s="59" t="str">
        <f ca="1">IF(OR(C43="", E43=""), "", IF(OR(C43&gt;E43, C43=E43), F43, B43))</f>
        <v>Vinicius Rolim RJ</v>
      </c>
      <c r="S43" s="56">
        <f ca="1">IF(OR(C43="", E43=""), "", VLOOKUP(R43, ClassGrupFases!$D$6:$AA$57, 24, 0))</f>
        <v>56.684349253703708</v>
      </c>
      <c r="U43" s="60" t="str">
        <f ca="1">IF(OR(C43 = "",E43 = ""), "", F43)</f>
        <v>Vinicius Rolim RJ</v>
      </c>
      <c r="W43" s="60" t="str">
        <f ca="1">IF(OR(C43 = "",E43 = ""), "", IF(C43&gt;E43,B43, IF(E43&gt;C43,F43, "")))</f>
        <v>Elsio SP</v>
      </c>
      <c r="X43" s="60" t="str">
        <f>IF(OR(C43 = "",E43 = ""), "", IF(C43=E43,B43, ""))</f>
        <v/>
      </c>
      <c r="Y43" s="60" t="str">
        <f>IF(OR(C43 = "",E43 = ""), "", IF(C43=E43,F43, ""))</f>
        <v/>
      </c>
      <c r="Z43" s="60" t="str">
        <f ca="1">IF(OR(C43 = "",E43 = ""), "", IF(C43&gt;E43,F43, IF(E43&gt;C43,B43, "")))</f>
        <v>Vinicius Rolim RJ</v>
      </c>
      <c r="AA43" s="60" t="str">
        <f ca="1">IF(OR(C43 = "",E43 = ""), "", B43)</f>
        <v>Elsio SP</v>
      </c>
      <c r="AB43" s="60">
        <f>IF(C43 = "", "", C43)</f>
        <v>2</v>
      </c>
      <c r="AC43" s="60" t="str">
        <f ca="1">IF(OR(C43 = "",E43 = ""), "", F43)</f>
        <v>Vinicius Rolim RJ</v>
      </c>
      <c r="AD43" s="60">
        <f>IF(E43 = "", "", E43)</f>
        <v>1</v>
      </c>
      <c r="AE43" s="60">
        <f>IF(C43 = "", "", C43)</f>
        <v>2</v>
      </c>
    </row>
    <row r="44" spans="1:31" x14ac:dyDescent="0.3">
      <c r="A44" s="56">
        <v>2</v>
      </c>
      <c r="B44" s="61" t="str">
        <f ca="1">IFERROR(VLOOKUP($A44,$M$33:$N$36, 2, FALSE), "")</f>
        <v>João Carlos RJ</v>
      </c>
      <c r="C44" s="74">
        <v>5</v>
      </c>
      <c r="D44" s="33" t="s">
        <v>23</v>
      </c>
      <c r="E44" s="74">
        <v>2</v>
      </c>
      <c r="F44" s="34" t="str">
        <f ca="1">IFERROR(VLOOKUP($G44,$M$33:$N$36, 2, FALSE), "")</f>
        <v>Lian MG</v>
      </c>
      <c r="G44" s="56">
        <v>3</v>
      </c>
      <c r="H44" s="33">
        <v>18</v>
      </c>
      <c r="M44" s="57">
        <f ca="1">IFERROR(_xlfn.RANK.EQ(O44, O43:O44, 0), "")</f>
        <v>2</v>
      </c>
      <c r="N44" s="58" t="str">
        <f ca="1">IF(OR(C44="", E44=""), "", IF(OR(C44&gt;E44, C44=E44), B44, F44))</f>
        <v>João Carlos RJ</v>
      </c>
      <c r="O44" s="57">
        <f ca="1">IF(OR(C44="", E44=""), "", VLOOKUP(N44, ClassGrupFases!$D$6:$AA$57, 24, 0))</f>
        <v>58.655998115555562</v>
      </c>
      <c r="Q44" s="56">
        <f ca="1">IFERROR(_xlfn.RANK.EQ(S44, S43:S44, 0) + 2, "")</f>
        <v>3</v>
      </c>
      <c r="R44" s="59" t="str">
        <f ca="1">IF(OR(C44="", E44=""), "", IF(OR(C44&gt;E44, C44=E44), F44, B44))</f>
        <v>Lian MG</v>
      </c>
      <c r="S44" s="56">
        <f ca="1">IF(OR(C44="", E44=""), "", VLOOKUP(R44, ClassGrupFases!$D$6:$AA$57, 24, 0))</f>
        <v>58.646798365555561</v>
      </c>
      <c r="U44" s="60" t="str">
        <f ca="1">IF(OR(C44 = "",E44 = ""), "", F44)</f>
        <v>Lian MG</v>
      </c>
      <c r="W44" s="60" t="str">
        <f ca="1">IF(OR(C44 = "",E44 = ""), "", IF(C44&gt;E44,B44, IF(E44&gt;C44,F44, "")))</f>
        <v>João Carlos RJ</v>
      </c>
      <c r="X44" s="60" t="str">
        <f>IF(OR(C44 = "",E44 = ""), "", IF(C44=E44,B44, ""))</f>
        <v/>
      </c>
      <c r="Y44" s="60" t="str">
        <f>IF(OR(C44 = "",E44 = ""), "", IF(C44=E44,F44, ""))</f>
        <v/>
      </c>
      <c r="Z44" s="60" t="str">
        <f ca="1">IF(OR(C44 = "",E44 = ""), "", IF(C44&gt;E44,F44, IF(E44&gt;C44,B44, "")))</f>
        <v>Lian MG</v>
      </c>
      <c r="AA44" s="60" t="str">
        <f ca="1">IF(OR(C44 = "",E44 = ""), "", B44)</f>
        <v>João Carlos RJ</v>
      </c>
      <c r="AB44" s="60">
        <f>IF(C44 = "", "", C44)</f>
        <v>5</v>
      </c>
      <c r="AC44" s="60" t="str">
        <f ca="1">IF(OR(C44 = "",E44 = ""), "", F44)</f>
        <v>Lian MG</v>
      </c>
      <c r="AD44" s="60">
        <f>IF(E44 = "", "", E44)</f>
        <v>2</v>
      </c>
      <c r="AE44" s="60">
        <f>IF(C44 = "", "", C44)</f>
        <v>5</v>
      </c>
    </row>
    <row r="45" spans="1:31" ht="25.5" x14ac:dyDescent="0.5">
      <c r="B45" s="62" t="s">
        <v>101</v>
      </c>
      <c r="C45" s="62"/>
      <c r="D45" s="62"/>
      <c r="E45" s="62"/>
      <c r="F45" s="62"/>
      <c r="G45" s="62"/>
      <c r="H45" s="62"/>
      <c r="U45" s="60" t="s">
        <v>15</v>
      </c>
      <c r="V45" s="60" t="s">
        <v>15</v>
      </c>
      <c r="W45" s="60" t="s">
        <v>16</v>
      </c>
      <c r="X45" s="60" t="s">
        <v>17</v>
      </c>
      <c r="Y45" s="60" t="s">
        <v>17</v>
      </c>
      <c r="Z45" s="60" t="s">
        <v>18</v>
      </c>
      <c r="AA45" s="60" t="s">
        <v>19</v>
      </c>
      <c r="AB45" s="60" t="s">
        <v>20</v>
      </c>
      <c r="AC45" s="60" t="s">
        <v>16</v>
      </c>
      <c r="AD45" s="60" t="s">
        <v>21</v>
      </c>
      <c r="AE45" s="60" t="s">
        <v>22</v>
      </c>
    </row>
    <row r="46" spans="1:31" x14ac:dyDescent="0.3">
      <c r="B46" s="65" t="s">
        <v>93</v>
      </c>
      <c r="C46" s="65"/>
      <c r="D46" s="65"/>
      <c r="E46" s="65"/>
      <c r="F46" s="65"/>
      <c r="G46" s="65"/>
      <c r="H46" s="64" t="s">
        <v>94</v>
      </c>
      <c r="L46" s="63">
        <f>Jogos!K3 + TIME(0,240,0)</f>
        <v>44850.583333333328</v>
      </c>
      <c r="M46" s="67" t="s">
        <v>95</v>
      </c>
      <c r="N46" s="66"/>
      <c r="O46" s="66"/>
      <c r="Q46" s="69" t="s">
        <v>96</v>
      </c>
      <c r="R46" s="68"/>
      <c r="S46" s="68"/>
    </row>
    <row r="47" spans="1:31" x14ac:dyDescent="0.3">
      <c r="A47" s="56">
        <v>3</v>
      </c>
      <c r="B47" s="73" t="str">
        <f ca="1">IFERROR(VLOOKUP($A47,$Q$39:$R$40, 2, FALSE), "")</f>
        <v>Thiago Matoso RJ</v>
      </c>
      <c r="C47" s="74">
        <v>3</v>
      </c>
      <c r="D47" s="70" t="s">
        <v>23</v>
      </c>
      <c r="E47" s="74">
        <v>3</v>
      </c>
      <c r="F47" s="71" t="str">
        <f ca="1">IFERROR(VLOOKUP($G47,$Q$39:$R$40, 2, FALSE), "")</f>
        <v>Alex Lage MG</v>
      </c>
      <c r="G47" s="72">
        <v>4</v>
      </c>
      <c r="H47" s="70">
        <v>20</v>
      </c>
      <c r="I47" s="70"/>
      <c r="J47" s="70"/>
      <c r="K47" s="70"/>
      <c r="M47" s="57">
        <f ca="1">IFERROR(_xlfn.RANK.EQ(O47, O47:O47, 0), "")</f>
        <v>1</v>
      </c>
      <c r="N47" s="58" t="str">
        <f ca="1">IF(OR(C47="", E47=""), "", IF(OR(C47&gt;E47, C47=E47), B47, F47))</f>
        <v>Thiago Matoso RJ</v>
      </c>
      <c r="O47" s="57">
        <f ca="1">IF(OR(C47="", E47=""), "", VLOOKUP(N47, ClassGrupFases!$D$6:$AA$57, 24, 0))</f>
        <v>70.377503566666661</v>
      </c>
      <c r="Q47" s="56">
        <f ca="1">IFERROR(_xlfn.RANK.EQ(S47, S47:S47, 0) + 1, "")</f>
        <v>2</v>
      </c>
      <c r="R47" s="59" t="str">
        <f ca="1">IF(OR(C47="", E47=""), "", IF(OR(C47&gt;E47, C47=E47), F47, B47))</f>
        <v>Alex Lage MG</v>
      </c>
      <c r="S47" s="56">
        <f ca="1">IF(OR(C47="", E47=""), "", VLOOKUP(R47, ClassGrupFases!$D$6:$AA$57, 24, 0))</f>
        <v>62.550196839259257</v>
      </c>
      <c r="U47" s="60" t="str">
        <f ca="1">IF(OR(C47 = "",E47 = ""), "", F47)</f>
        <v>Alex Lage MG</v>
      </c>
      <c r="W47" s="60" t="str">
        <f>IF(OR(C47 = "",E47 = ""), "", IF(C47&gt;E47,B47, IF(E47&gt;C47,F47, "")))</f>
        <v/>
      </c>
      <c r="X47" s="60" t="str">
        <f ca="1">IF(OR(C47 = "",E47 = ""), "", IF(C47=E47,B47, ""))</f>
        <v>Thiago Matoso RJ</v>
      </c>
      <c r="Y47" s="60" t="str">
        <f ca="1">IF(OR(C47 = "",E47 = ""), "", IF(C47=E47,F47, ""))</f>
        <v>Alex Lage MG</v>
      </c>
      <c r="Z47" s="60" t="str">
        <f>IF(OR(C47 = "",E47 = ""), "", IF(C47&gt;E47,F47, IF(E47&gt;C47,B47, "")))</f>
        <v/>
      </c>
      <c r="AA47" s="60" t="str">
        <f ca="1">IF(OR(C47 = "",E47 = ""), "", B47)</f>
        <v>Thiago Matoso RJ</v>
      </c>
      <c r="AB47" s="60">
        <f>IF(C47 = "", "", C47)</f>
        <v>3</v>
      </c>
      <c r="AC47" s="60" t="str">
        <f ca="1">IF(OR(C47 = "",E47 = ""), "", F47)</f>
        <v>Alex Lage MG</v>
      </c>
      <c r="AD47" s="60">
        <f>IF(E47 = "", "", E47)</f>
        <v>3</v>
      </c>
      <c r="AE47" s="60">
        <f>IF(C47 = "", "", C47)</f>
        <v>3</v>
      </c>
    </row>
    <row r="48" spans="1:31" ht="25.5" x14ac:dyDescent="0.5">
      <c r="B48" s="62" t="s">
        <v>102</v>
      </c>
      <c r="C48" s="62"/>
      <c r="D48" s="62"/>
      <c r="E48" s="62"/>
      <c r="F48" s="62"/>
      <c r="G48" s="62"/>
      <c r="H48" s="62"/>
      <c r="U48" s="60" t="s">
        <v>15</v>
      </c>
      <c r="V48" s="60" t="s">
        <v>15</v>
      </c>
      <c r="W48" s="60" t="s">
        <v>16</v>
      </c>
      <c r="X48" s="60" t="s">
        <v>17</v>
      </c>
      <c r="Y48" s="60" t="s">
        <v>17</v>
      </c>
      <c r="Z48" s="60" t="s">
        <v>18</v>
      </c>
      <c r="AA48" s="60" t="s">
        <v>19</v>
      </c>
      <c r="AB48" s="60" t="s">
        <v>20</v>
      </c>
      <c r="AC48" s="60" t="s">
        <v>16</v>
      </c>
      <c r="AD48" s="60" t="s">
        <v>21</v>
      </c>
      <c r="AE48" s="60" t="s">
        <v>22</v>
      </c>
    </row>
    <row r="49" spans="1:31" x14ac:dyDescent="0.3">
      <c r="B49" s="65" t="s">
        <v>93</v>
      </c>
      <c r="C49" s="65"/>
      <c r="D49" s="65"/>
      <c r="E49" s="65"/>
      <c r="F49" s="65"/>
      <c r="G49" s="65"/>
      <c r="H49" s="64" t="s">
        <v>94</v>
      </c>
      <c r="L49" s="63">
        <f>Jogos!K3 + TIME(0,240,0)</f>
        <v>44850.583333333328</v>
      </c>
      <c r="M49" s="67" t="s">
        <v>95</v>
      </c>
      <c r="N49" s="66"/>
      <c r="O49" s="66"/>
      <c r="Q49" s="69" t="s">
        <v>96</v>
      </c>
      <c r="R49" s="68"/>
      <c r="S49" s="68"/>
    </row>
    <row r="50" spans="1:31" x14ac:dyDescent="0.3">
      <c r="A50" s="56">
        <v>1</v>
      </c>
      <c r="B50" s="61" t="str">
        <f ca="1">IFERROR(VLOOKUP($A50,$M$39:$N$40, 2, FALSE), "")</f>
        <v>Gabriel RJ</v>
      </c>
      <c r="C50" s="74">
        <v>4</v>
      </c>
      <c r="D50" s="33" t="s">
        <v>23</v>
      </c>
      <c r="E50" s="74">
        <v>4</v>
      </c>
      <c r="F50" s="34" t="str">
        <f ca="1">IFERROR(VLOOKUP($G50,$M$39:$N$40, 2, FALSE), "")</f>
        <v>Claudio Jr MG</v>
      </c>
      <c r="G50" s="56">
        <v>2</v>
      </c>
      <c r="H50" s="33">
        <v>19</v>
      </c>
      <c r="M50" s="57">
        <f ca="1">IFERROR(_xlfn.RANK.EQ(O50, O50:O50, 0), "")</f>
        <v>1</v>
      </c>
      <c r="N50" s="58" t="str">
        <f ca="1">IF(OR(C50="", E50=""), "", IF(OR(C50&gt;E50, C50=E50), B50, F50))</f>
        <v>Gabriel RJ</v>
      </c>
      <c r="O50" s="57">
        <f ca="1">IF(OR(C50="", E50=""), "", VLOOKUP(N50, ClassGrupFases!$D$6:$AA$57, 24, 0))</f>
        <v>78.205623014074064</v>
      </c>
      <c r="Q50" s="56">
        <f ca="1">IFERROR(_xlfn.RANK.EQ(S50, S50:S50, 0) + 1, "")</f>
        <v>2</v>
      </c>
      <c r="R50" s="59" t="str">
        <f ca="1">IF(OR(C50="", E50=""), "", IF(OR(C50&gt;E50, C50=E50), F50, B50))</f>
        <v>Claudio Jr MG</v>
      </c>
      <c r="S50" s="56">
        <f ca="1">IF(OR(C50="", E50=""), "", VLOOKUP(R50, ClassGrupFases!$D$6:$AA$57, 24, 0))</f>
        <v>74.292718130370361</v>
      </c>
      <c r="U50" s="60" t="str">
        <f ca="1">IF(OR(C50 = "",E50 = ""), "", F50)</f>
        <v>Claudio Jr MG</v>
      </c>
      <c r="W50" s="60" t="str">
        <f>IF(OR(C50 = "",E50 = ""), "", IF(C50&gt;E50,B50, IF(E50&gt;C50,F50, "")))</f>
        <v/>
      </c>
      <c r="X50" s="60" t="str">
        <f ca="1">IF(OR(C50 = "",E50 = ""), "", IF(C50=E50,B50, ""))</f>
        <v>Gabriel RJ</v>
      </c>
      <c r="Y50" s="60" t="str">
        <f ca="1">IF(OR(C50 = "",E50 = ""), "", IF(C50=E50,F50, ""))</f>
        <v>Claudio Jr MG</v>
      </c>
      <c r="Z50" s="60" t="str">
        <f>IF(OR(C50 = "",E50 = ""), "", IF(C50&gt;E50,F50, IF(E50&gt;C50,B50, "")))</f>
        <v/>
      </c>
      <c r="AA50" s="60" t="str">
        <f ca="1">IF(OR(C50 = "",E50 = ""), "", B50)</f>
        <v>Gabriel RJ</v>
      </c>
      <c r="AB50" s="60">
        <f>IF(C50 = "", "", C50)</f>
        <v>4</v>
      </c>
      <c r="AC50" s="60" t="str">
        <f ca="1">IF(OR(C50 = "",E50 = ""), "", F50)</f>
        <v>Claudio Jr MG</v>
      </c>
      <c r="AD50" s="60">
        <f>IF(E50 = "", "", E50)</f>
        <v>4</v>
      </c>
      <c r="AE50" s="60">
        <f>IF(C50 = "", "", C50)</f>
        <v>4</v>
      </c>
    </row>
    <row r="51" spans="1:31" ht="25.5" x14ac:dyDescent="0.5">
      <c r="B51" s="62" t="s">
        <v>103</v>
      </c>
      <c r="C51" s="62"/>
      <c r="D51" s="62"/>
      <c r="E51" s="62"/>
      <c r="F51" s="62"/>
      <c r="G51" s="62"/>
      <c r="H51" s="62"/>
      <c r="U51" s="60" t="s">
        <v>15</v>
      </c>
      <c r="V51" s="60" t="s">
        <v>15</v>
      </c>
      <c r="W51" s="60" t="s">
        <v>16</v>
      </c>
      <c r="X51" s="60" t="s">
        <v>17</v>
      </c>
      <c r="Y51" s="60" t="s">
        <v>17</v>
      </c>
      <c r="Z51" s="60" t="s">
        <v>18</v>
      </c>
      <c r="AA51" s="60" t="s">
        <v>19</v>
      </c>
      <c r="AB51" s="60" t="s">
        <v>20</v>
      </c>
      <c r="AC51" s="60" t="s">
        <v>16</v>
      </c>
      <c r="AD51" s="60" t="s">
        <v>21</v>
      </c>
      <c r="AE51" s="60" t="s">
        <v>22</v>
      </c>
    </row>
    <row r="52" spans="1:31" x14ac:dyDescent="0.3">
      <c r="B52" s="65" t="s">
        <v>93</v>
      </c>
      <c r="C52" s="65"/>
      <c r="D52" s="65"/>
      <c r="E52" s="65"/>
      <c r="F52" s="65"/>
      <c r="G52" s="65"/>
      <c r="H52" s="64" t="s">
        <v>94</v>
      </c>
      <c r="L52" s="63">
        <f>Jogos!K3 + TIME(0,240,0)</f>
        <v>44850.583333333328</v>
      </c>
      <c r="M52" s="67" t="s">
        <v>95</v>
      </c>
      <c r="N52" s="66"/>
      <c r="O52" s="66"/>
      <c r="Q52" s="69" t="s">
        <v>96</v>
      </c>
      <c r="R52" s="68"/>
      <c r="S52" s="68"/>
    </row>
    <row r="53" spans="1:31" x14ac:dyDescent="0.3">
      <c r="A53" s="56">
        <v>3</v>
      </c>
      <c r="B53" s="73" t="str">
        <f ca="1">IFERROR(VLOOKUP($A53,$Q$43:$R$44, 2, FALSE), "")</f>
        <v>Lian MG</v>
      </c>
      <c r="C53" s="74">
        <v>5</v>
      </c>
      <c r="D53" s="70" t="s">
        <v>23</v>
      </c>
      <c r="E53" s="74">
        <v>1</v>
      </c>
      <c r="F53" s="71" t="str">
        <f ca="1">IFERROR(VLOOKUP($G53,$Q$43:$R$44, 2, FALSE), "")</f>
        <v>Vinicius Rolim RJ</v>
      </c>
      <c r="G53" s="72">
        <v>4</v>
      </c>
      <c r="H53" s="70">
        <v>18</v>
      </c>
      <c r="I53" s="70"/>
      <c r="J53" s="70"/>
      <c r="K53" s="70"/>
      <c r="M53" s="57">
        <f ca="1">IFERROR(_xlfn.RANK.EQ(O53, O53:O53, 0), "")</f>
        <v>1</v>
      </c>
      <c r="N53" s="58" t="str">
        <f ca="1">IF(OR(C53="", E53=""), "", IF(OR(C53&gt;E53, C53=E53), B53, F53))</f>
        <v>Lian MG</v>
      </c>
      <c r="O53" s="57">
        <f ca="1">IF(OR(C53="", E53=""), "", VLOOKUP(N53, ClassGrupFases!$D$6:$AA$57, 24, 0))</f>
        <v>58.646798365555561</v>
      </c>
      <c r="Q53" s="56">
        <f ca="1">IFERROR(_xlfn.RANK.EQ(S53, S53:S53, 0) + 1, "")</f>
        <v>2</v>
      </c>
      <c r="R53" s="59" t="str">
        <f ca="1">IF(OR(C53="", E53=""), "", IF(OR(C53&gt;E53, C53=E53), F53, B53))</f>
        <v>Vinicius Rolim RJ</v>
      </c>
      <c r="S53" s="56">
        <f ca="1">IF(OR(C53="", E53=""), "", VLOOKUP(R53, ClassGrupFases!$D$6:$AA$57, 24, 0))</f>
        <v>56.684349253703708</v>
      </c>
      <c r="U53" s="60" t="str">
        <f ca="1">IF(OR(C53 = "",E53 = ""), "", F53)</f>
        <v>Vinicius Rolim RJ</v>
      </c>
      <c r="W53" s="60" t="str">
        <f ca="1">IF(OR(C53 = "",E53 = ""), "", IF(C53&gt;E53,B53, IF(E53&gt;C53,F53, "")))</f>
        <v>Lian MG</v>
      </c>
      <c r="X53" s="60" t="str">
        <f>IF(OR(C53 = "",E53 = ""), "", IF(C53=E53,B53, ""))</f>
        <v/>
      </c>
      <c r="Y53" s="60" t="str">
        <f>IF(OR(C53 = "",E53 = ""), "", IF(C53=E53,F53, ""))</f>
        <v/>
      </c>
      <c r="Z53" s="60" t="str">
        <f ca="1">IF(OR(C53 = "",E53 = ""), "", IF(C53&gt;E53,F53, IF(E53&gt;C53,B53, "")))</f>
        <v>Vinicius Rolim RJ</v>
      </c>
      <c r="AA53" s="60" t="str">
        <f ca="1">IF(OR(C53 = "",E53 = ""), "", B53)</f>
        <v>Lian MG</v>
      </c>
      <c r="AB53" s="60">
        <f>IF(C53 = "", "", C53)</f>
        <v>5</v>
      </c>
      <c r="AC53" s="60" t="str">
        <f ca="1">IF(OR(C53 = "",E53 = ""), "", F53)</f>
        <v>Vinicius Rolim RJ</v>
      </c>
      <c r="AD53" s="60">
        <f>IF(E53 = "", "", E53)</f>
        <v>1</v>
      </c>
      <c r="AE53" s="60">
        <f>IF(C53 = "", "", C53)</f>
        <v>5</v>
      </c>
    </row>
    <row r="54" spans="1:31" ht="25.5" x14ac:dyDescent="0.5">
      <c r="B54" s="62" t="s">
        <v>104</v>
      </c>
      <c r="C54" s="62"/>
      <c r="D54" s="62"/>
      <c r="E54" s="62"/>
      <c r="F54" s="62"/>
      <c r="G54" s="62"/>
      <c r="H54" s="62"/>
      <c r="U54" s="60" t="s">
        <v>15</v>
      </c>
      <c r="V54" s="60" t="s">
        <v>15</v>
      </c>
      <c r="W54" s="60" t="s">
        <v>16</v>
      </c>
      <c r="X54" s="60" t="s">
        <v>17</v>
      </c>
      <c r="Y54" s="60" t="s">
        <v>17</v>
      </c>
      <c r="Z54" s="60" t="s">
        <v>18</v>
      </c>
      <c r="AA54" s="60" t="s">
        <v>19</v>
      </c>
      <c r="AB54" s="60" t="s">
        <v>20</v>
      </c>
      <c r="AC54" s="60" t="s">
        <v>16</v>
      </c>
      <c r="AD54" s="60" t="s">
        <v>21</v>
      </c>
      <c r="AE54" s="60" t="s">
        <v>22</v>
      </c>
    </row>
    <row r="55" spans="1:31" x14ac:dyDescent="0.3">
      <c r="B55" s="65" t="s">
        <v>93</v>
      </c>
      <c r="C55" s="65"/>
      <c r="D55" s="65"/>
      <c r="E55" s="65"/>
      <c r="F55" s="65"/>
      <c r="G55" s="65"/>
      <c r="H55" s="64" t="s">
        <v>94</v>
      </c>
      <c r="L55" s="63">
        <f>Jogos!K3 + TIME(0,240,0)</f>
        <v>44850.583333333328</v>
      </c>
      <c r="M55" s="67" t="s">
        <v>95</v>
      </c>
      <c r="N55" s="66"/>
      <c r="O55" s="66"/>
      <c r="Q55" s="69" t="s">
        <v>96</v>
      </c>
      <c r="R55" s="68"/>
      <c r="S55" s="68"/>
    </row>
    <row r="56" spans="1:31" x14ac:dyDescent="0.3">
      <c r="A56" s="56">
        <v>1</v>
      </c>
      <c r="B56" s="61" t="str">
        <f ca="1">IFERROR(VLOOKUP($A56,$M$43:$N$44, 2, FALSE), "")</f>
        <v>Elsio SP</v>
      </c>
      <c r="C56" s="74">
        <v>2</v>
      </c>
      <c r="D56" s="33" t="s">
        <v>23</v>
      </c>
      <c r="E56" s="74">
        <v>3</v>
      </c>
      <c r="F56" s="34" t="str">
        <f ca="1">IFERROR(VLOOKUP($G56,$M$43:$N$44, 2, FALSE), "")</f>
        <v>João Carlos RJ</v>
      </c>
      <c r="G56" s="56">
        <v>2</v>
      </c>
      <c r="H56" s="33">
        <v>17</v>
      </c>
      <c r="M56" s="57">
        <f ca="1">IFERROR(_xlfn.RANK.EQ(O56, O56:O56, 0), "")</f>
        <v>1</v>
      </c>
      <c r="N56" s="58" t="str">
        <f ca="1">IF(OR(C56="", E56=""), "", IF(OR(C56&gt;E56, C56=E56), B56, F56))</f>
        <v>João Carlos RJ</v>
      </c>
      <c r="O56" s="57">
        <f ca="1">IF(OR(C56="", E56=""), "", VLOOKUP(N56, ClassGrupFases!$D$6:$AA$57, 24, 0))</f>
        <v>58.655998115555562</v>
      </c>
      <c r="Q56" s="56">
        <f ca="1">IFERROR(_xlfn.RANK.EQ(S56, S56:S56, 0) + 1, "")</f>
        <v>2</v>
      </c>
      <c r="R56" s="59" t="str">
        <f ca="1">IF(OR(C56="", E56=""), "", IF(OR(C56&gt;E56, C56=E56), F56, B56))</f>
        <v>Elsio SP</v>
      </c>
      <c r="S56" s="56">
        <f ca="1">IF(OR(C56="", E56=""), "", VLOOKUP(R56, ClassGrupFases!$D$6:$AA$57, 24, 0))</f>
        <v>64.512351591111113</v>
      </c>
      <c r="U56" s="60" t="str">
        <f ca="1">IF(OR(C56 = "",E56 = ""), "", F56)</f>
        <v>João Carlos RJ</v>
      </c>
      <c r="W56" s="60" t="str">
        <f ca="1">IF(OR(C56 = "",E56 = ""), "", IF(C56&gt;E56,B56, IF(E56&gt;C56,F56, "")))</f>
        <v>João Carlos RJ</v>
      </c>
      <c r="X56" s="60" t="str">
        <f>IF(OR(C56 = "",E56 = ""), "", IF(C56=E56,B56, ""))</f>
        <v/>
      </c>
      <c r="Y56" s="60" t="str">
        <f>IF(OR(C56 = "",E56 = ""), "", IF(C56=E56,F56, ""))</f>
        <v/>
      </c>
      <c r="Z56" s="60" t="str">
        <f ca="1">IF(OR(C56 = "",E56 = ""), "", IF(C56&gt;E56,F56, IF(E56&gt;C56,B56, "")))</f>
        <v>Elsio SP</v>
      </c>
      <c r="AA56" s="60" t="str">
        <f ca="1">IF(OR(C56 = "",E56 = ""), "", B56)</f>
        <v>Elsio SP</v>
      </c>
      <c r="AB56" s="60">
        <f>IF(C56 = "", "", C56)</f>
        <v>2</v>
      </c>
      <c r="AC56" s="60" t="str">
        <f ca="1">IF(OR(C56 = "",E56 = ""), "", F56)</f>
        <v>João Carlos RJ</v>
      </c>
      <c r="AD56" s="60">
        <f>IF(E56 = "", "", E56)</f>
        <v>3</v>
      </c>
      <c r="AE56" s="60">
        <f>IF(C56 = "", "", C56)</f>
        <v>2</v>
      </c>
    </row>
  </sheetData>
  <sheetProtection algorithmName="SHA-512" hashValue="fpS0xsPKBIPklR9DbfSFbGFrEb3bVF4PNcOK07jyxpeqFdwQ0SzsDRFTMZEyGXLlpwx2doCTZ0p/MsGH2Ps5vg==" saltValue="5fU1Pv0BiEeluVWXZqn6yw==" spinCount="100000" sheet="1" objects="1" scenarios="1" selectLockedCells="1"/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6D6DD-B645-44AE-86EC-AB36604155B3}">
  <dimension ref="A1:C45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20.25" x14ac:dyDescent="0.35"/>
  <cols>
    <col min="1" max="1" width="1.7109375" style="76" customWidth="1"/>
    <col min="2" max="2" width="5.7109375" style="89" customWidth="1"/>
    <col min="3" max="3" width="50.7109375" style="78" customWidth="1"/>
    <col min="4" max="16384" width="9.140625" style="75"/>
  </cols>
  <sheetData>
    <row r="1" spans="2:3" ht="21" x14ac:dyDescent="0.35">
      <c r="B1" s="77" t="s">
        <v>106</v>
      </c>
    </row>
    <row r="2" spans="2:3" x14ac:dyDescent="0.35">
      <c r="B2" s="79" t="s">
        <v>1</v>
      </c>
    </row>
    <row r="3" spans="2:3" ht="25.5" x14ac:dyDescent="0.5">
      <c r="B3" s="80" t="s">
        <v>105</v>
      </c>
      <c r="C3" s="80"/>
    </row>
    <row r="4" spans="2:3" x14ac:dyDescent="0.35">
      <c r="B4" s="81" t="s">
        <v>107</v>
      </c>
      <c r="C4" s="82" t="str">
        <f ca="1">IFERROR(INDEX(Finais!N:N,MATCH("Final",Finais!B:B,0)+2),"")</f>
        <v>João Carlos RJ</v>
      </c>
    </row>
    <row r="5" spans="2:3" x14ac:dyDescent="0.35">
      <c r="B5" s="81" t="s">
        <v>108</v>
      </c>
      <c r="C5" s="82" t="str">
        <f ca="1">IFERROR(INDEX(Finais!R:R,MATCH("Final",Finais!B:B,0)+2),"")</f>
        <v>Elsio SP</v>
      </c>
    </row>
    <row r="6" spans="2:3" x14ac:dyDescent="0.35">
      <c r="B6" s="81" t="s">
        <v>109</v>
      </c>
      <c r="C6" s="82" t="str">
        <f ca="1">IFERROR(INDEX(Finais!N:N,MATCH("Disputa de 3º lugar",Finais!B:B,0)+2),"")</f>
        <v>Lian MG</v>
      </c>
    </row>
    <row r="7" spans="2:3" x14ac:dyDescent="0.35">
      <c r="B7" s="81" t="s">
        <v>110</v>
      </c>
      <c r="C7" s="82" t="str">
        <f ca="1">IFERROR(INDEX(Finais!R:R,MATCH("Disputa de 3º lugar",Finais!B:B,0)+2),"")</f>
        <v>Vinicius Rolim RJ</v>
      </c>
    </row>
    <row r="8" spans="2:3" x14ac:dyDescent="0.35">
      <c r="B8" s="83" t="s">
        <v>111</v>
      </c>
      <c r="C8" s="84" t="str">
        <f ca="1">IFERROR(INDEX(Finais!N:N,MATCH("Disputa de 5º lugar",Finais!B:B,0)+2),"")</f>
        <v>Gabriel RJ</v>
      </c>
    </row>
    <row r="9" spans="2:3" x14ac:dyDescent="0.35">
      <c r="B9" s="83" t="s">
        <v>112</v>
      </c>
      <c r="C9" s="84" t="str">
        <f ca="1">IFERROR(INDEX(Finais!R:R,MATCH("Disputa de 5º lugar",Finais!B:B,0)+2),"")</f>
        <v>Claudio Jr MG</v>
      </c>
    </row>
    <row r="10" spans="2:3" x14ac:dyDescent="0.35">
      <c r="B10" s="83" t="s">
        <v>113</v>
      </c>
      <c r="C10" s="84" t="str">
        <f ca="1">IFERROR(INDEX(Finais!N:N,MATCH("Disputa de 7º lugar",Finais!B:B,0)+2),"")</f>
        <v>Thiago Matoso RJ</v>
      </c>
    </row>
    <row r="11" spans="2:3" x14ac:dyDescent="0.35">
      <c r="B11" s="85" t="s">
        <v>114</v>
      </c>
      <c r="C11" s="86" t="str">
        <f ca="1">IFERROR(INDEX(Finais!R:R,MATCH("Disputa de 7º lugar",Finais!B:B,0)+2),"")</f>
        <v>Alex Lage MG</v>
      </c>
    </row>
    <row r="12" spans="2:3" x14ac:dyDescent="0.35">
      <c r="B12" s="87" t="s">
        <v>115</v>
      </c>
      <c r="C12" s="88" t="str">
        <f ca="1">IFERROR(VLOOKUP(9,Finais!Q:R,2,FALSE),"")</f>
        <v>Almo PR</v>
      </c>
    </row>
    <row r="13" spans="2:3" x14ac:dyDescent="0.35">
      <c r="B13" s="87" t="s">
        <v>116</v>
      </c>
      <c r="C13" s="88" t="str">
        <f ca="1">IFERROR(VLOOKUP(10,Finais!Q:R,2,FALSE),"")</f>
        <v>Willow SP</v>
      </c>
    </row>
    <row r="14" spans="2:3" x14ac:dyDescent="0.35">
      <c r="B14" s="87" t="s">
        <v>117</v>
      </c>
      <c r="C14" s="88" t="str">
        <f ca="1">IFERROR(VLOOKUP(11,Finais!Q:R,2,FALSE),"")</f>
        <v>Eduardo Rocha RJ</v>
      </c>
    </row>
    <row r="15" spans="2:3" x14ac:dyDescent="0.35">
      <c r="B15" s="87" t="s">
        <v>118</v>
      </c>
      <c r="C15" s="88" t="str">
        <f ca="1">IFERROR(VLOOKUP(12,Finais!Q:R,2,FALSE),"")</f>
        <v>Kaka RJ</v>
      </c>
    </row>
    <row r="16" spans="2:3" x14ac:dyDescent="0.35">
      <c r="B16" s="87" t="s">
        <v>119</v>
      </c>
      <c r="C16" s="88" t="str">
        <f ca="1">IFERROR(VLOOKUP(13,Finais!Q:R,2,FALSE),"")</f>
        <v>Capela SC</v>
      </c>
    </row>
    <row r="17" spans="2:3" x14ac:dyDescent="0.35">
      <c r="B17" s="87" t="s">
        <v>120</v>
      </c>
      <c r="C17" s="88" t="str">
        <f ca="1">IFERROR(VLOOKUP(14,Finais!Q:R,2,FALSE),"")</f>
        <v>João Paulo MG</v>
      </c>
    </row>
    <row r="18" spans="2:3" x14ac:dyDescent="0.35">
      <c r="B18" s="87" t="s">
        <v>121</v>
      </c>
      <c r="C18" s="88" t="str">
        <f ca="1">IFERROR(VLOOKUP(15,Finais!Q:R,2,FALSE),"")</f>
        <v>Pablo Martins RJ</v>
      </c>
    </row>
    <row r="19" spans="2:3" x14ac:dyDescent="0.35">
      <c r="B19" s="87" t="s">
        <v>122</v>
      </c>
      <c r="C19" s="88" t="str">
        <f ca="1">IFERROR(VLOOKUP(16,Finais!Q:R,2,FALSE),"")</f>
        <v>Mário Bürguel RS</v>
      </c>
    </row>
    <row r="20" spans="2:3" x14ac:dyDescent="0.35">
      <c r="B20" s="87" t="s">
        <v>123</v>
      </c>
      <c r="C20" s="88" t="str">
        <f ca="1">IFERROR(VLOOKUP(17,Finais!Q:R,2,FALSE),"")</f>
        <v>Tavares RJ</v>
      </c>
    </row>
    <row r="21" spans="2:3" x14ac:dyDescent="0.35">
      <c r="B21" s="87" t="s">
        <v>124</v>
      </c>
      <c r="C21" s="88" t="str">
        <f ca="1">IFERROR(VLOOKUP(18,Finais!Q:R,2,FALSE),"")</f>
        <v>Roberto Giolo MS</v>
      </c>
    </row>
    <row r="22" spans="2:3" x14ac:dyDescent="0.35">
      <c r="B22" s="87" t="s">
        <v>125</v>
      </c>
      <c r="C22" s="88" t="str">
        <f ca="1">IFERROR(VLOOKUP(19,Finais!Q:R,2,FALSE),"")</f>
        <v>Marcelinho RJ</v>
      </c>
    </row>
    <row r="23" spans="2:3" x14ac:dyDescent="0.35">
      <c r="B23" s="87" t="s">
        <v>126</v>
      </c>
      <c r="C23" s="88" t="str">
        <f ca="1">IFERROR(VLOOKUP(20,Finais!Q:R,2,FALSE),"")</f>
        <v>Israel RJ</v>
      </c>
    </row>
    <row r="24" spans="2:3" x14ac:dyDescent="0.35">
      <c r="B24" s="87" t="s">
        <v>127</v>
      </c>
      <c r="C24" s="88" t="str">
        <f ca="1">IFERROR(VLOOKUP(21,Finais!Q:R,2,FALSE),"")</f>
        <v>Tabajara SP</v>
      </c>
    </row>
    <row r="25" spans="2:3" x14ac:dyDescent="0.35">
      <c r="B25" s="87" t="s">
        <v>128</v>
      </c>
      <c r="C25" s="88" t="str">
        <f ca="1">IFERROR(VLOOKUP(22,Finais!Q:R,2,FALSE),"")</f>
        <v>Afonso SP</v>
      </c>
    </row>
    <row r="26" spans="2:3" x14ac:dyDescent="0.35">
      <c r="B26" s="87" t="s">
        <v>129</v>
      </c>
      <c r="C26" s="88" t="str">
        <f ca="1">IFERROR(VLOOKUP(23,Finais!Q:R,2,FALSE),"")</f>
        <v>Renato Souza MG</v>
      </c>
    </row>
    <row r="27" spans="2:3" x14ac:dyDescent="0.35">
      <c r="B27" s="87" t="s">
        <v>130</v>
      </c>
      <c r="C27" s="88" t="str">
        <f ca="1">IFERROR(VLOOKUP(24,Finais!Q:R,2,FALSE),"")</f>
        <v>Diogo SP</v>
      </c>
    </row>
    <row r="28" spans="2:3" x14ac:dyDescent="0.35">
      <c r="B28" s="87" t="s">
        <v>131</v>
      </c>
      <c r="C28" s="88" t="str">
        <f ca="1">IFERROR(VLOOKUP(25,Finais!Q:R,2,FALSE),"")</f>
        <v>André Araújo AM</v>
      </c>
    </row>
    <row r="29" spans="2:3" x14ac:dyDescent="0.35">
      <c r="B29" s="87" t="s">
        <v>132</v>
      </c>
      <c r="C29" s="88" t="str">
        <f ca="1">IFERROR(VLOOKUP(26,Finais!Q:R,2,FALSE),"")</f>
        <v>Alysson RJ</v>
      </c>
    </row>
    <row r="30" spans="2:3" x14ac:dyDescent="0.35">
      <c r="B30" s="87" t="s">
        <v>133</v>
      </c>
      <c r="C30" s="88" t="str">
        <f ca="1">IFERROR(VLOOKUP(27,Finais!Q:R,2,FALSE),"")</f>
        <v>Vitor Luiz</v>
      </c>
    </row>
    <row r="31" spans="2:3" x14ac:dyDescent="0.35">
      <c r="B31" s="87" t="s">
        <v>134</v>
      </c>
      <c r="C31" s="88" t="str">
        <f ca="1">IFERROR(VLOOKUP(28,Finais!Q:R,2,FALSE),"")</f>
        <v>Gabriel Lisboa PA</v>
      </c>
    </row>
    <row r="32" spans="2:3" x14ac:dyDescent="0.35">
      <c r="B32" s="87" t="s">
        <v>135</v>
      </c>
      <c r="C32" s="88" t="str">
        <f ca="1">IFERROR(VLOOKUP(29,Finais!Q:R,2,FALSE),"")</f>
        <v>Cléo Jr SP</v>
      </c>
    </row>
    <row r="33" spans="2:3" x14ac:dyDescent="0.35">
      <c r="B33" s="87" t="s">
        <v>136</v>
      </c>
      <c r="C33" s="88" t="str">
        <f ca="1">IFERROR(VLOOKUP(30,Finais!Q:R,2,FALSE),"")</f>
        <v>Marcelo Aranha SP</v>
      </c>
    </row>
    <row r="34" spans="2:3" x14ac:dyDescent="0.35">
      <c r="B34" s="87" t="s">
        <v>137</v>
      </c>
      <c r="C34" s="88" t="str">
        <f ca="1">IFERROR(VLOOKUP(31,Finais!Q:R,2,FALSE),"")</f>
        <v>Claudio Mastrangelo RS</v>
      </c>
    </row>
    <row r="35" spans="2:3" x14ac:dyDescent="0.35">
      <c r="B35" s="87" t="s">
        <v>138</v>
      </c>
      <c r="C35" s="88" t="str">
        <f ca="1">IFERROR(VLOOKUP(32,Finais!Q:R,2,FALSE),"")</f>
        <v>Ronaldo Eifler RS</v>
      </c>
    </row>
    <row r="36" spans="2:3" x14ac:dyDescent="0.35">
      <c r="B36" s="87" t="s">
        <v>139</v>
      </c>
      <c r="C36" s="88" t="str">
        <f ca="1">IFERROR(VLOOKUP(33,ClassGrupFases!$C$104:$D$113,2,FALSE),"")</f>
        <v>Marcelo Baceiredo MG</v>
      </c>
    </row>
    <row r="37" spans="2:3" x14ac:dyDescent="0.35">
      <c r="B37" s="87" t="s">
        <v>140</v>
      </c>
      <c r="C37" s="88" t="str">
        <f ca="1">IFERROR(VLOOKUP(34,ClassGrupFases!$C$104:$D$113,2,FALSE),"")</f>
        <v>Dudu RJ</v>
      </c>
    </row>
    <row r="38" spans="2:3" x14ac:dyDescent="0.35">
      <c r="B38" s="87" t="s">
        <v>141</v>
      </c>
      <c r="C38" s="88" t="str">
        <f ca="1">IFERROR(VLOOKUP(35,ClassGrupFases!$C$104:$D$113,2,FALSE),"")</f>
        <v>Eduardo Massa MG</v>
      </c>
    </row>
    <row r="39" spans="2:3" x14ac:dyDescent="0.35">
      <c r="B39" s="87" t="s">
        <v>142</v>
      </c>
      <c r="C39" s="88" t="str">
        <f ca="1">IFERROR(VLOOKUP(36,ClassGrupFases!$C$104:$D$113,2,FALSE),"")</f>
        <v>Rogelson PR</v>
      </c>
    </row>
    <row r="40" spans="2:3" x14ac:dyDescent="0.35">
      <c r="B40" s="87" t="s">
        <v>143</v>
      </c>
      <c r="C40" s="88" t="str">
        <f ca="1">IFERROR(VLOOKUP(37,ClassGrupFases!$C$104:$D$113,2,FALSE),"")</f>
        <v>João Marcelo MG</v>
      </c>
    </row>
    <row r="41" spans="2:3" x14ac:dyDescent="0.35">
      <c r="B41" s="87" t="s">
        <v>144</v>
      </c>
      <c r="C41" s="88" t="str">
        <f ca="1">IFERROR(VLOOKUP(38,ClassGrupFases!$C$104:$D$113,2,FALSE),"")</f>
        <v>Rogério MG</v>
      </c>
    </row>
    <row r="42" spans="2:3" x14ac:dyDescent="0.35">
      <c r="B42" s="87" t="s">
        <v>145</v>
      </c>
      <c r="C42" s="88" t="str">
        <f ca="1">IFERROR(VLOOKUP(39,ClassGrupFases!$C$104:$D$113,2,FALSE),"")</f>
        <v>Bergamini SP</v>
      </c>
    </row>
    <row r="43" spans="2:3" x14ac:dyDescent="0.35">
      <c r="B43" s="87" t="s">
        <v>146</v>
      </c>
      <c r="C43" s="88" t="str">
        <f ca="1">IFERROR(VLOOKUP(40,ClassGrupFases!$C$104:$D$113,2,FALSE),"")</f>
        <v>Justa SP</v>
      </c>
    </row>
    <row r="44" spans="2:3" x14ac:dyDescent="0.35">
      <c r="B44" s="87" t="s">
        <v>147</v>
      </c>
      <c r="C44" s="88" t="str">
        <f ca="1">IFERROR(VLOOKUP(41,ClassGrupFases!$C$104:$D$113,2,FALSE),"")</f>
        <v>Curvelo RJ</v>
      </c>
    </row>
    <row r="45" spans="2:3" x14ac:dyDescent="0.35">
      <c r="B45" s="87" t="s">
        <v>148</v>
      </c>
      <c r="C45" s="88" t="str">
        <f ca="1">IFERROR(VLOOKUP(42,ClassGrupFases!$C$104:$D$113,2,FALSE),"")</f>
        <v>Luiz Coelho SP</v>
      </c>
    </row>
  </sheetData>
  <sheetProtection algorithmName="SHA-512" hashValue="ek4fsRoNXF6xi49HfEbOJZyqO+Eoykm0rPFeXE8/T5lRj4g7SwEmi4Len3OSDIYh0pzJ+mxnFDLk0qNibOtQ9Q==" saltValue="rAse1XX1Ep5XVjgSbydzaw==" spinCount="100000" sheet="1" objects="1" scenarios="1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Equipes</vt:lpstr>
      <vt:lpstr>Grupos</vt:lpstr>
      <vt:lpstr>Jogos</vt:lpstr>
      <vt:lpstr>ClassGrupFases</vt:lpstr>
      <vt:lpstr>Classificação</vt:lpstr>
      <vt:lpstr>Finais</vt:lpstr>
      <vt:lpstr>Premiação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Jose de Andrade Oliveira Jr</dc:creator>
  <cp:lastModifiedBy>Joao Jose de Andrade Oliveira Jr</cp:lastModifiedBy>
  <dcterms:created xsi:type="dcterms:W3CDTF">2022-10-07T18:16:57Z</dcterms:created>
  <dcterms:modified xsi:type="dcterms:W3CDTF">2022-10-17T23:29:27Z</dcterms:modified>
</cp:coreProperties>
</file>